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s\Dropbox\"/>
    </mc:Choice>
  </mc:AlternateContent>
  <xr:revisionPtr revIDLastSave="0" documentId="13_ncr:1_{9219721A-9202-4C7D-9875-7D5A98C4940F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Worksheet 2018" sheetId="2" state="hidden" r:id="rId1"/>
    <sheet name="KEJC 2023" sheetId="4" r:id="rId2"/>
    <sheet name="Sheet4" sheetId="8" r:id="rId3"/>
    <sheet name="Sheet1" sheetId="5" r:id="rId4"/>
    <sheet name="Sheet2" sheetId="6" r:id="rId5"/>
    <sheet name="Bene Spread 2023 II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4" l="1"/>
  <c r="G61" i="4"/>
  <c r="F72" i="4"/>
  <c r="C72" i="4"/>
  <c r="Q38" i="4"/>
  <c r="P38" i="4"/>
  <c r="F39" i="4"/>
  <c r="AH39" i="4"/>
  <c r="AK39" i="4" s="1"/>
  <c r="AL39" i="4" s="1"/>
  <c r="AH9" i="4"/>
  <c r="AK9" i="4" s="1"/>
  <c r="AL9" i="4" s="1"/>
  <c r="AI9" i="4" s="1"/>
  <c r="P106" i="4"/>
  <c r="S78" i="4" l="1"/>
  <c r="S75" i="4"/>
  <c r="S72" i="4"/>
  <c r="U32" i="4"/>
  <c r="U33" i="4"/>
  <c r="U34" i="4"/>
  <c r="U35" i="4"/>
  <c r="U36" i="4"/>
  <c r="U37" i="4"/>
  <c r="U39" i="4"/>
  <c r="U40" i="4"/>
  <c r="U41" i="4"/>
  <c r="U42" i="4"/>
  <c r="U72" i="4" l="1"/>
  <c r="AF39" i="4"/>
  <c r="AF10" i="4"/>
  <c r="AH10" i="4" s="1"/>
  <c r="AF11" i="4"/>
  <c r="AH11" i="4" s="1"/>
  <c r="AF12" i="4"/>
  <c r="AH12" i="4" s="1"/>
  <c r="AF13" i="4"/>
  <c r="AH13" i="4" s="1"/>
  <c r="AF14" i="4"/>
  <c r="AH14" i="4" s="1"/>
  <c r="AF15" i="4"/>
  <c r="AH15" i="4" s="1"/>
  <c r="AF16" i="4"/>
  <c r="AH16" i="4" s="1"/>
  <c r="AF17" i="4"/>
  <c r="AH17" i="4" s="1"/>
  <c r="AF18" i="4"/>
  <c r="AH18" i="4" s="1"/>
  <c r="AF19" i="4"/>
  <c r="AH19" i="4" s="1"/>
  <c r="AF20" i="4"/>
  <c r="AH20" i="4" s="1"/>
  <c r="AF22" i="4"/>
  <c r="AH22" i="4" s="1"/>
  <c r="AF23" i="4"/>
  <c r="AH23" i="4" s="1"/>
  <c r="AF24" i="4"/>
  <c r="AH24" i="4" s="1"/>
  <c r="AF25" i="4"/>
  <c r="AH25" i="4" s="1"/>
  <c r="AF26" i="4"/>
  <c r="AH26" i="4" s="1"/>
  <c r="AF27" i="4"/>
  <c r="AH27" i="4" s="1"/>
  <c r="AF28" i="4"/>
  <c r="AH28" i="4" s="1"/>
  <c r="AF29" i="4"/>
  <c r="AH29" i="4" s="1"/>
  <c r="AF30" i="4"/>
  <c r="AH30" i="4" s="1"/>
  <c r="AF32" i="4"/>
  <c r="AH32" i="4" s="1"/>
  <c r="AF33" i="4"/>
  <c r="AH33" i="4" s="1"/>
  <c r="AF34" i="4"/>
  <c r="AH34" i="4" s="1"/>
  <c r="AF35" i="4"/>
  <c r="AH35" i="4" s="1"/>
  <c r="AF36" i="4"/>
  <c r="AH36" i="4" s="1"/>
  <c r="AF37" i="4"/>
  <c r="AH37" i="4" s="1"/>
  <c r="AF38" i="4"/>
  <c r="AH38" i="4" s="1"/>
  <c r="AE44" i="4"/>
  <c r="U60" i="4"/>
  <c r="U61" i="4"/>
  <c r="U65" i="4"/>
  <c r="U68" i="4"/>
  <c r="U70" i="4"/>
  <c r="U71" i="4"/>
  <c r="U73" i="4"/>
  <c r="U74" i="4"/>
  <c r="U80" i="4"/>
  <c r="L75" i="4"/>
  <c r="L82" i="4" s="1"/>
  <c r="C96" i="4"/>
  <c r="O94" i="4"/>
  <c r="U94" i="4" s="1"/>
  <c r="V94" i="4" s="1"/>
  <c r="U108" i="4"/>
  <c r="V108" i="4" s="1"/>
  <c r="U106" i="4"/>
  <c r="V106" i="4" s="1"/>
  <c r="P77" i="4"/>
  <c r="U77" i="4" s="1"/>
  <c r="B8" i="8"/>
  <c r="A8" i="8"/>
  <c r="U87" i="4"/>
  <c r="U88" i="4"/>
  <c r="U89" i="4"/>
  <c r="U90" i="4"/>
  <c r="U91" i="4"/>
  <c r="U92" i="4"/>
  <c r="U93" i="4"/>
  <c r="U95" i="4"/>
  <c r="U96" i="4"/>
  <c r="U97" i="4"/>
  <c r="U98" i="4"/>
  <c r="U99" i="4"/>
  <c r="U100" i="4"/>
  <c r="U102" i="4"/>
  <c r="U103" i="4"/>
  <c r="V103" i="4" s="1"/>
  <c r="U104" i="4"/>
  <c r="V104" i="4" s="1"/>
  <c r="U105" i="4"/>
  <c r="V105" i="4" s="1"/>
  <c r="U109" i="4"/>
  <c r="U110" i="4"/>
  <c r="U111" i="4"/>
  <c r="V111" i="4" s="1"/>
  <c r="U112" i="4"/>
  <c r="U113" i="4"/>
  <c r="U114" i="4"/>
  <c r="U115" i="4"/>
  <c r="U116" i="4"/>
  <c r="U117" i="4"/>
  <c r="U118" i="4"/>
  <c r="L119" i="4"/>
  <c r="O76" i="4"/>
  <c r="U76" i="4" s="1"/>
  <c r="T62" i="4"/>
  <c r="U62" i="4" s="1"/>
  <c r="O78" i="4"/>
  <c r="O67" i="4"/>
  <c r="O79" i="4"/>
  <c r="U79" i="4" s="1"/>
  <c r="L54" i="4"/>
  <c r="L49" i="4"/>
  <c r="L48" i="4"/>
  <c r="L47" i="4"/>
  <c r="M11" i="4"/>
  <c r="M47" i="4"/>
  <c r="M48" i="4"/>
  <c r="M49" i="4"/>
  <c r="M54" i="4"/>
  <c r="M63" i="4"/>
  <c r="M67" i="4"/>
  <c r="M119" i="4"/>
  <c r="M124" i="4"/>
  <c r="O119" i="4"/>
  <c r="N101" i="4"/>
  <c r="U101" i="4" s="1"/>
  <c r="V101" i="4" s="1"/>
  <c r="Q78" i="4"/>
  <c r="Q82" i="4" s="1"/>
  <c r="S54" i="4"/>
  <c r="S49" i="4"/>
  <c r="S48" i="4"/>
  <c r="S47" i="4"/>
  <c r="R54" i="4"/>
  <c r="R49" i="4"/>
  <c r="R47" i="4"/>
  <c r="R48" i="4"/>
  <c r="W25" i="7"/>
  <c r="P54" i="4" s="1"/>
  <c r="X25" i="7"/>
  <c r="Q54" i="4" s="1"/>
  <c r="V25" i="7"/>
  <c r="W17" i="7"/>
  <c r="X17" i="7"/>
  <c r="W18" i="7"/>
  <c r="X18" i="7"/>
  <c r="W19" i="7"/>
  <c r="X19" i="7"/>
  <c r="W20" i="7"/>
  <c r="X20" i="7"/>
  <c r="W21" i="7"/>
  <c r="X21" i="7"/>
  <c r="W22" i="7"/>
  <c r="X22" i="7"/>
  <c r="W23" i="7"/>
  <c r="X23" i="7"/>
  <c r="W24" i="7"/>
  <c r="X24" i="7"/>
  <c r="X16" i="7"/>
  <c r="W16" i="7"/>
  <c r="R21" i="7"/>
  <c r="R22" i="7"/>
  <c r="R23" i="7"/>
  <c r="R24" i="7"/>
  <c r="R20" i="7"/>
  <c r="R19" i="7"/>
  <c r="R18" i="7"/>
  <c r="R17" i="7"/>
  <c r="T17" i="7" s="1"/>
  <c r="T18" i="7"/>
  <c r="T19" i="7"/>
  <c r="T20" i="7"/>
  <c r="T21" i="7"/>
  <c r="T22" i="7"/>
  <c r="T23" i="7"/>
  <c r="T24" i="7"/>
  <c r="S17" i="7"/>
  <c r="S18" i="7"/>
  <c r="S19" i="7"/>
  <c r="S20" i="7"/>
  <c r="S21" i="7"/>
  <c r="S22" i="7"/>
  <c r="S23" i="7"/>
  <c r="S24" i="7"/>
  <c r="T16" i="7"/>
  <c r="S16" i="7"/>
  <c r="R16" i="7"/>
  <c r="O25" i="7"/>
  <c r="P48" i="4" s="1"/>
  <c r="N25" i="7"/>
  <c r="P17" i="7"/>
  <c r="P18" i="7"/>
  <c r="P19" i="7"/>
  <c r="P25" i="7" s="1"/>
  <c r="Q48" i="4" s="1"/>
  <c r="P20" i="7"/>
  <c r="P21" i="7"/>
  <c r="P22" i="7"/>
  <c r="P23" i="7"/>
  <c r="P24" i="7"/>
  <c r="P16" i="7"/>
  <c r="O17" i="7"/>
  <c r="O18" i="7"/>
  <c r="O19" i="7"/>
  <c r="O20" i="7"/>
  <c r="O21" i="7"/>
  <c r="O22" i="7"/>
  <c r="O23" i="7"/>
  <c r="O24" i="7"/>
  <c r="O16" i="7"/>
  <c r="N18" i="7"/>
  <c r="N21" i="7"/>
  <c r="N22" i="7"/>
  <c r="N23" i="7"/>
  <c r="N24" i="7"/>
  <c r="N20" i="7"/>
  <c r="N17" i="7"/>
  <c r="N19" i="7"/>
  <c r="N16" i="7"/>
  <c r="J21" i="7"/>
  <c r="J22" i="7"/>
  <c r="J23" i="7"/>
  <c r="J24" i="7"/>
  <c r="J20" i="7"/>
  <c r="J17" i="7"/>
  <c r="J16" i="7"/>
  <c r="J18" i="7"/>
  <c r="J19" i="7"/>
  <c r="K19" i="7" s="1"/>
  <c r="K17" i="7"/>
  <c r="K20" i="7"/>
  <c r="K21" i="7"/>
  <c r="K22" i="7"/>
  <c r="K23" i="7"/>
  <c r="H17" i="7"/>
  <c r="L17" i="7" s="1"/>
  <c r="L19" i="7"/>
  <c r="H23" i="7"/>
  <c r="L23" i="7" s="1"/>
  <c r="H16" i="7"/>
  <c r="L16" i="7" s="1"/>
  <c r="G20" i="7"/>
  <c r="G21" i="7"/>
  <c r="G22" i="7"/>
  <c r="G23" i="7"/>
  <c r="G24" i="7"/>
  <c r="E20" i="7"/>
  <c r="H20" i="7" s="1"/>
  <c r="L20" i="7" s="1"/>
  <c r="E21" i="7"/>
  <c r="H21" i="7" s="1"/>
  <c r="L21" i="7" s="1"/>
  <c r="L25" i="7" s="1"/>
  <c r="Q47" i="4" s="1"/>
  <c r="E22" i="7"/>
  <c r="H22" i="7" s="1"/>
  <c r="L22" i="7" s="1"/>
  <c r="E23" i="7"/>
  <c r="E24" i="7"/>
  <c r="H24" i="7" s="1"/>
  <c r="L24" i="7" s="1"/>
  <c r="E17" i="7"/>
  <c r="G17" i="7" s="1"/>
  <c r="E18" i="7"/>
  <c r="G18" i="7" s="1"/>
  <c r="E19" i="7"/>
  <c r="E16" i="7"/>
  <c r="G16" i="7" s="1"/>
  <c r="K16" i="7" s="1"/>
  <c r="O54" i="4"/>
  <c r="O48" i="4"/>
  <c r="O49" i="4"/>
  <c r="O47" i="4"/>
  <c r="N54" i="4"/>
  <c r="K54" i="4"/>
  <c r="J54" i="4"/>
  <c r="I54" i="4"/>
  <c r="V4" i="7"/>
  <c r="V5" i="7"/>
  <c r="V6" i="7"/>
  <c r="V7" i="7"/>
  <c r="V8" i="7"/>
  <c r="V9" i="7"/>
  <c r="V10" i="7"/>
  <c r="V3" i="7"/>
  <c r="D44" i="4"/>
  <c r="D82" i="4"/>
  <c r="D83" i="4" s="1"/>
  <c r="D119" i="4"/>
  <c r="R8" i="7"/>
  <c r="R7" i="7"/>
  <c r="R6" i="7"/>
  <c r="R9" i="7"/>
  <c r="R5" i="7"/>
  <c r="R4" i="7"/>
  <c r="R3" i="7"/>
  <c r="N9" i="7"/>
  <c r="N8" i="7"/>
  <c r="N7" i="7"/>
  <c r="N3" i="7"/>
  <c r="AK24" i="4" l="1"/>
  <c r="AL24" i="4" s="1"/>
  <c r="AI24" i="4" s="1"/>
  <c r="AK23" i="4"/>
  <c r="AL23" i="4" s="1"/>
  <c r="AI23" i="4" s="1"/>
  <c r="AK20" i="4"/>
  <c r="AL20" i="4" s="1"/>
  <c r="AI20" i="4" s="1"/>
  <c r="AK37" i="4"/>
  <c r="AL37" i="4" s="1"/>
  <c r="AI37" i="4" s="1"/>
  <c r="AK19" i="4"/>
  <c r="AL19" i="4" s="1"/>
  <c r="AI19" i="4" s="1"/>
  <c r="AK38" i="4"/>
  <c r="AL38" i="4" s="1"/>
  <c r="AI38" i="4" s="1"/>
  <c r="AK36" i="4"/>
  <c r="AL36" i="4" s="1"/>
  <c r="AI36" i="4" s="1"/>
  <c r="AK18" i="4"/>
  <c r="AL18" i="4" s="1"/>
  <c r="AI18" i="4" s="1"/>
  <c r="AK22" i="4"/>
  <c r="AL22" i="4" s="1"/>
  <c r="AI22" i="4" s="1"/>
  <c r="AK35" i="4"/>
  <c r="AL35" i="4" s="1"/>
  <c r="AI35" i="4" s="1"/>
  <c r="AK17" i="4"/>
  <c r="AL17" i="4" s="1"/>
  <c r="AI17" i="4" s="1"/>
  <c r="AK34" i="4"/>
  <c r="AL34" i="4" s="1"/>
  <c r="AI34" i="4" s="1"/>
  <c r="AK16" i="4"/>
  <c r="AL16" i="4" s="1"/>
  <c r="AI16" i="4" s="1"/>
  <c r="AK33" i="4"/>
  <c r="AL33" i="4" s="1"/>
  <c r="AI33" i="4" s="1"/>
  <c r="AK15" i="4"/>
  <c r="AL15" i="4" s="1"/>
  <c r="AI15" i="4" s="1"/>
  <c r="AK32" i="4"/>
  <c r="AL32" i="4" s="1"/>
  <c r="AI32" i="4" s="1"/>
  <c r="AK14" i="4"/>
  <c r="AL14" i="4" s="1"/>
  <c r="AI14" i="4" s="1"/>
  <c r="AK29" i="4"/>
  <c r="AL29" i="4" s="1"/>
  <c r="AI29" i="4" s="1"/>
  <c r="AK12" i="4"/>
  <c r="AL12" i="4" s="1"/>
  <c r="AI12" i="4" s="1"/>
  <c r="AK30" i="4"/>
  <c r="AL30" i="4" s="1"/>
  <c r="AI30" i="4" s="1"/>
  <c r="AK28" i="4"/>
  <c r="AL28" i="4" s="1"/>
  <c r="AI28" i="4" s="1"/>
  <c r="AK11" i="4"/>
  <c r="AL11" i="4" s="1"/>
  <c r="AI11" i="4" s="1"/>
  <c r="AK27" i="4"/>
  <c r="AL27" i="4" s="1"/>
  <c r="AK10" i="4"/>
  <c r="AL10" i="4" s="1"/>
  <c r="AI10" i="4" s="1"/>
  <c r="AK13" i="4"/>
  <c r="AL13" i="4" s="1"/>
  <c r="AI13" i="4" s="1"/>
  <c r="AK26" i="4"/>
  <c r="AL26" i="4" s="1"/>
  <c r="AK25" i="4"/>
  <c r="AL25" i="4" s="1"/>
  <c r="AI25" i="4" s="1"/>
  <c r="AF44" i="4"/>
  <c r="AF45" i="4" s="1"/>
  <c r="AF46" i="4" s="1"/>
  <c r="M82" i="4"/>
  <c r="O82" i="4"/>
  <c r="D120" i="4"/>
  <c r="D132" i="4" s="1"/>
  <c r="T25" i="7"/>
  <c r="Q49" i="4" s="1"/>
  <c r="S25" i="7"/>
  <c r="P49" i="4" s="1"/>
  <c r="R25" i="7"/>
  <c r="K18" i="7"/>
  <c r="K24" i="7"/>
  <c r="K25" i="7" s="1"/>
  <c r="P47" i="4" s="1"/>
  <c r="H18" i="7"/>
  <c r="L18" i="7" s="1"/>
  <c r="V11" i="7"/>
  <c r="R11" i="7"/>
  <c r="N6" i="7"/>
  <c r="N5" i="7"/>
  <c r="N4" i="7"/>
  <c r="N11" i="7" s="1"/>
  <c r="J9" i="7"/>
  <c r="J3" i="7"/>
  <c r="AI40" i="4" l="1"/>
  <c r="AF47" i="4"/>
  <c r="V121" i="4"/>
  <c r="J8" i="7"/>
  <c r="J7" i="7"/>
  <c r="J6" i="7"/>
  <c r="J5" i="7"/>
  <c r="J4" i="7"/>
  <c r="H10" i="7"/>
  <c r="L10" i="7" s="1"/>
  <c r="H9" i="7"/>
  <c r="H8" i="7"/>
  <c r="H7" i="7"/>
  <c r="H6" i="7"/>
  <c r="H5" i="7"/>
  <c r="H4" i="7"/>
  <c r="H3" i="7"/>
  <c r="G10" i="7"/>
  <c r="G9" i="7"/>
  <c r="G8" i="7"/>
  <c r="G7" i="7"/>
  <c r="G6" i="7"/>
  <c r="G5" i="7"/>
  <c r="G4" i="7"/>
  <c r="G3" i="7"/>
  <c r="K3" i="7" s="1"/>
  <c r="V42" i="4"/>
  <c r="V41" i="4"/>
  <c r="AB27" i="4"/>
  <c r="AI27" i="4" s="1"/>
  <c r="AB26" i="4"/>
  <c r="AI26" i="4" s="1"/>
  <c r="AC29" i="4"/>
  <c r="AC30" i="4"/>
  <c r="AC28" i="4"/>
  <c r="AC10" i="4"/>
  <c r="AC38" i="4"/>
  <c r="AC17" i="4"/>
  <c r="AC16" i="4"/>
  <c r="AA13" i="4"/>
  <c r="AC14" i="4"/>
  <c r="F35" i="4"/>
  <c r="C35" i="4"/>
  <c r="AC35" i="4"/>
  <c r="Z32" i="4"/>
  <c r="AJ32" i="4" s="1"/>
  <c r="AC27" i="4" l="1"/>
  <c r="Q27" i="4" s="1"/>
  <c r="U27" i="4" s="1"/>
  <c r="V27" i="4" s="1"/>
  <c r="W27" i="4" s="1"/>
  <c r="AC26" i="4"/>
  <c r="Q28" i="4"/>
  <c r="U28" i="4" s="1"/>
  <c r="V28" i="4" s="1"/>
  <c r="W28" i="4" s="1"/>
  <c r="Q26" i="4"/>
  <c r="U26" i="4" s="1"/>
  <c r="V26" i="4" s="1"/>
  <c r="W26" i="4" s="1"/>
  <c r="Q30" i="4"/>
  <c r="U30" i="4" s="1"/>
  <c r="V30" i="4" s="1"/>
  <c r="W30" i="4" s="1"/>
  <c r="S14" i="4"/>
  <c r="U14" i="4" s="1"/>
  <c r="V14" i="4" s="1"/>
  <c r="W14" i="4" s="1"/>
  <c r="O16" i="4"/>
  <c r="U16" i="4" s="1"/>
  <c r="V16" i="4" s="1"/>
  <c r="W16" i="4" s="1"/>
  <c r="O17" i="4"/>
  <c r="U17" i="4" s="1"/>
  <c r="V17" i="4" s="1"/>
  <c r="W17" i="4" s="1"/>
  <c r="Q29" i="4"/>
  <c r="U29" i="4" s="1"/>
  <c r="V29" i="4" s="1"/>
  <c r="W29" i="4" s="1"/>
  <c r="O38" i="4"/>
  <c r="S10" i="4"/>
  <c r="S81" i="4" s="1"/>
  <c r="U38" i="4"/>
  <c r="F38" i="4"/>
  <c r="O10" i="4"/>
  <c r="O81" i="4" s="1"/>
  <c r="T44" i="4"/>
  <c r="K4" i="7"/>
  <c r="K5" i="7"/>
  <c r="K6" i="7"/>
  <c r="K7" i="7"/>
  <c r="K8" i="7"/>
  <c r="W9" i="7"/>
  <c r="O9" i="7"/>
  <c r="S9" i="7"/>
  <c r="P7" i="7"/>
  <c r="X7" i="7"/>
  <c r="T7" i="7"/>
  <c r="K9" i="7"/>
  <c r="P4" i="7"/>
  <c r="T4" i="7"/>
  <c r="X4" i="7"/>
  <c r="W10" i="7"/>
  <c r="O10" i="7"/>
  <c r="S10" i="7"/>
  <c r="P5" i="7"/>
  <c r="T5" i="7"/>
  <c r="X5" i="7"/>
  <c r="P6" i="7"/>
  <c r="T6" i="7"/>
  <c r="X6" i="7"/>
  <c r="X8" i="7"/>
  <c r="P8" i="7"/>
  <c r="T8" i="7"/>
  <c r="P9" i="7"/>
  <c r="X9" i="7"/>
  <c r="T9" i="7"/>
  <c r="W6" i="7"/>
  <c r="O6" i="7"/>
  <c r="S6" i="7"/>
  <c r="L5" i="7"/>
  <c r="O8" i="7"/>
  <c r="W8" i="7"/>
  <c r="S8" i="7"/>
  <c r="K10" i="7"/>
  <c r="T3" i="7"/>
  <c r="X3" i="7"/>
  <c r="P3" i="7"/>
  <c r="L3" i="7"/>
  <c r="T10" i="7"/>
  <c r="P10" i="7"/>
  <c r="X10" i="7"/>
  <c r="L9" i="7"/>
  <c r="S3" i="7"/>
  <c r="O3" i="7"/>
  <c r="W3" i="7"/>
  <c r="L8" i="7"/>
  <c r="W4" i="7"/>
  <c r="O4" i="7"/>
  <c r="S4" i="7"/>
  <c r="L7" i="7"/>
  <c r="O5" i="7"/>
  <c r="S5" i="7"/>
  <c r="W5" i="7"/>
  <c r="L6" i="7"/>
  <c r="W7" i="7"/>
  <c r="O7" i="7"/>
  <c r="S7" i="7"/>
  <c r="L4" i="7"/>
  <c r="AC32" i="4"/>
  <c r="F32" i="4"/>
  <c r="C32" i="4"/>
  <c r="U81" i="4" l="1"/>
  <c r="V81" i="4" s="1"/>
  <c r="L10" i="4"/>
  <c r="K11" i="7"/>
  <c r="C47" i="4" s="1"/>
  <c r="L11" i="7"/>
  <c r="F47" i="4" s="1"/>
  <c r="O11" i="7"/>
  <c r="C48" i="4" s="1"/>
  <c r="W11" i="7"/>
  <c r="C54" i="4" s="1"/>
  <c r="S11" i="7"/>
  <c r="C49" i="4" s="1"/>
  <c r="P11" i="7"/>
  <c r="F48" i="4" s="1"/>
  <c r="X11" i="7"/>
  <c r="F54" i="4" s="1"/>
  <c r="T11" i="7"/>
  <c r="F49" i="4" s="1"/>
  <c r="AC34" i="4"/>
  <c r="AC20" i="4"/>
  <c r="H12" i="4"/>
  <c r="K49" i="4"/>
  <c r="N47" i="4"/>
  <c r="K47" i="4"/>
  <c r="F124" i="4"/>
  <c r="G124" i="4" s="1"/>
  <c r="U128" i="4"/>
  <c r="N124" i="4"/>
  <c r="G68" i="4"/>
  <c r="U129" i="4"/>
  <c r="V129" i="4" s="1"/>
  <c r="C119" i="4"/>
  <c r="W101" i="4"/>
  <c r="W103" i="4"/>
  <c r="W106" i="4"/>
  <c r="W111" i="4"/>
  <c r="V77" i="4"/>
  <c r="W77" i="4" s="1"/>
  <c r="U130" i="4"/>
  <c r="V130" i="4" s="1"/>
  <c r="G128" i="4"/>
  <c r="K82" i="4"/>
  <c r="K119" i="4"/>
  <c r="B119" i="4"/>
  <c r="T69" i="4"/>
  <c r="I67" i="4"/>
  <c r="P59" i="4"/>
  <c r="U59" i="4" s="1"/>
  <c r="P78" i="4"/>
  <c r="E20" i="5"/>
  <c r="C20" i="5"/>
  <c r="D20" i="5"/>
  <c r="D17" i="5"/>
  <c r="C17" i="5"/>
  <c r="C13" i="5"/>
  <c r="D10" i="5"/>
  <c r="D9" i="5"/>
  <c r="D8" i="5"/>
  <c r="D5" i="5"/>
  <c r="C5" i="5"/>
  <c r="D4" i="5"/>
  <c r="C3" i="5"/>
  <c r="C70" i="4"/>
  <c r="F70" i="4"/>
  <c r="J75" i="4"/>
  <c r="S69" i="4"/>
  <c r="P69" i="4"/>
  <c r="H69" i="4"/>
  <c r="F69" i="4"/>
  <c r="C69" i="4"/>
  <c r="T66" i="4"/>
  <c r="U66" i="4" s="1"/>
  <c r="F65" i="4"/>
  <c r="C65" i="4"/>
  <c r="F64" i="4"/>
  <c r="C64" i="4"/>
  <c r="T64" i="4"/>
  <c r="U64" i="4" s="1"/>
  <c r="T63" i="4"/>
  <c r="U63" i="4" s="1"/>
  <c r="F63" i="4"/>
  <c r="C63" i="4"/>
  <c r="V62" i="4"/>
  <c r="W62" i="4" s="1"/>
  <c r="B82" i="4"/>
  <c r="B55" i="4"/>
  <c r="B44" i="4"/>
  <c r="W41" i="4"/>
  <c r="W42" i="4"/>
  <c r="K48" i="4"/>
  <c r="I48" i="4"/>
  <c r="J47" i="4"/>
  <c r="I47" i="4"/>
  <c r="N11" i="4"/>
  <c r="AC37" i="4"/>
  <c r="F37" i="4"/>
  <c r="C37" i="4"/>
  <c r="G39" i="4"/>
  <c r="V39" i="4" s="1"/>
  <c r="G38" i="4"/>
  <c r="AA36" i="4"/>
  <c r="AC36" i="4" s="1"/>
  <c r="AC33" i="4"/>
  <c r="AC19" i="4"/>
  <c r="Z19" i="4"/>
  <c r="AJ19" i="4" s="1"/>
  <c r="AC18" i="4"/>
  <c r="AC25" i="4"/>
  <c r="Z25" i="4"/>
  <c r="AJ25" i="4" s="1"/>
  <c r="AC24" i="4"/>
  <c r="Z24" i="4"/>
  <c r="AJ24" i="4" s="1"/>
  <c r="Z22" i="4"/>
  <c r="AJ22" i="4" s="1"/>
  <c r="AC22" i="4"/>
  <c r="AC15" i="4"/>
  <c r="AA9" i="4"/>
  <c r="P119" i="4"/>
  <c r="G78" i="4"/>
  <c r="V73" i="4"/>
  <c r="W73" i="4" s="1"/>
  <c r="V74" i="4"/>
  <c r="W74" i="4" s="1"/>
  <c r="F71" i="4"/>
  <c r="G71" i="4" s="1"/>
  <c r="G87" i="4"/>
  <c r="V87" i="4" s="1"/>
  <c r="G67" i="4"/>
  <c r="AC23" i="4"/>
  <c r="Z23" i="4"/>
  <c r="AJ23" i="4" s="1"/>
  <c r="Z39" i="4"/>
  <c r="AC13" i="4"/>
  <c r="Z37" i="4"/>
  <c r="AJ37" i="4" s="1"/>
  <c r="Z38" i="4"/>
  <c r="AJ38" i="4" s="1"/>
  <c r="J48" i="4"/>
  <c r="N48" i="4"/>
  <c r="I49" i="4"/>
  <c r="J49" i="4"/>
  <c r="N49" i="4"/>
  <c r="G59" i="4"/>
  <c r="G60" i="4"/>
  <c r="G66" i="4"/>
  <c r="F75" i="4"/>
  <c r="G75" i="4" s="1"/>
  <c r="N82" i="4"/>
  <c r="G76" i="4"/>
  <c r="G79" i="4"/>
  <c r="G80" i="4"/>
  <c r="R82" i="4"/>
  <c r="F86" i="4"/>
  <c r="F119" i="4" s="1"/>
  <c r="T86" i="4"/>
  <c r="U86" i="4" s="1"/>
  <c r="G88" i="4"/>
  <c r="V88" i="4" s="1"/>
  <c r="G89" i="4"/>
  <c r="V89" i="4" s="1"/>
  <c r="G90" i="4"/>
  <c r="V90" i="4" s="1"/>
  <c r="G91" i="4"/>
  <c r="V91" i="4" s="1"/>
  <c r="G92" i="4"/>
  <c r="V92" i="4" s="1"/>
  <c r="G93" i="4"/>
  <c r="V93" i="4" s="1"/>
  <c r="G95" i="4"/>
  <c r="V95" i="4" s="1"/>
  <c r="G97" i="4"/>
  <c r="V97" i="4" s="1"/>
  <c r="G98" i="4"/>
  <c r="V98" i="4" s="1"/>
  <c r="V99" i="4"/>
  <c r="G100" i="4"/>
  <c r="V100" i="4" s="1"/>
  <c r="G102" i="4"/>
  <c r="V102" i="4" s="1"/>
  <c r="W102" i="4" s="1"/>
  <c r="V109" i="4"/>
  <c r="V110" i="4"/>
  <c r="G112" i="4"/>
  <c r="V112" i="4" s="1"/>
  <c r="G113" i="4"/>
  <c r="V113" i="4" s="1"/>
  <c r="G114" i="4"/>
  <c r="V114" i="4" s="1"/>
  <c r="G115" i="4"/>
  <c r="V115" i="4" s="1"/>
  <c r="G116" i="4"/>
  <c r="V116" i="4" s="1"/>
  <c r="G117" i="4"/>
  <c r="V117" i="4" s="1"/>
  <c r="G118" i="4"/>
  <c r="V118" i="4" s="1"/>
  <c r="H119" i="4"/>
  <c r="I119" i="4"/>
  <c r="J119" i="4"/>
  <c r="N119" i="4"/>
  <c r="R119" i="4"/>
  <c r="B6" i="2"/>
  <c r="B7" i="2"/>
  <c r="B9" i="2"/>
  <c r="B10" i="2"/>
  <c r="B12" i="2"/>
  <c r="B13" i="2"/>
  <c r="B14" i="2"/>
  <c r="B16" i="2"/>
  <c r="S119" i="4"/>
  <c r="Z15" i="4"/>
  <c r="AJ15" i="4" s="1"/>
  <c r="Z18" i="4"/>
  <c r="AJ18" i="4" s="1"/>
  <c r="Z11" i="4"/>
  <c r="AJ11" i="4" s="1"/>
  <c r="AC11" i="4"/>
  <c r="Z12" i="4"/>
  <c r="AJ12" i="4" s="1"/>
  <c r="AC12" i="4"/>
  <c r="S13" i="4"/>
  <c r="Z13" i="4"/>
  <c r="AJ13" i="4" s="1"/>
  <c r="Q24" i="4" l="1"/>
  <c r="P24" i="4" s="1"/>
  <c r="Q25" i="4"/>
  <c r="M15" i="4"/>
  <c r="U15" i="4" s="1"/>
  <c r="V15" i="4" s="1"/>
  <c r="W15" i="4" s="1"/>
  <c r="P12" i="4"/>
  <c r="S18" i="4"/>
  <c r="V128" i="4"/>
  <c r="V131" i="4" s="1"/>
  <c r="U12" i="4"/>
  <c r="V12" i="4" s="1"/>
  <c r="W12" i="4" s="1"/>
  <c r="O11" i="4"/>
  <c r="Q11" i="4"/>
  <c r="P11" i="4"/>
  <c r="U47" i="4"/>
  <c r="O20" i="4"/>
  <c r="S20" i="4"/>
  <c r="H18" i="4"/>
  <c r="U13" i="4"/>
  <c r="V13" i="4" s="1"/>
  <c r="W13" i="4" s="1"/>
  <c r="O19" i="4"/>
  <c r="S19" i="4"/>
  <c r="U10" i="4"/>
  <c r="V10" i="4" s="1"/>
  <c r="W10" i="4" s="1"/>
  <c r="L44" i="4"/>
  <c r="U69" i="4"/>
  <c r="J82" i="4"/>
  <c r="U75" i="4"/>
  <c r="V75" i="4" s="1"/>
  <c r="W75" i="4" s="1"/>
  <c r="U78" i="4"/>
  <c r="V78" i="4" s="1"/>
  <c r="W78" i="4" s="1"/>
  <c r="I82" i="4"/>
  <c r="U67" i="4"/>
  <c r="V67" i="4" s="1"/>
  <c r="W67" i="4" s="1"/>
  <c r="M20" i="4"/>
  <c r="U48" i="4"/>
  <c r="M19" i="4"/>
  <c r="U49" i="4"/>
  <c r="N9" i="4"/>
  <c r="M9" i="4"/>
  <c r="P23" i="4"/>
  <c r="U23" i="4" s="1"/>
  <c r="P25" i="4"/>
  <c r="U25" i="4" s="1"/>
  <c r="N19" i="4"/>
  <c r="P19" i="4"/>
  <c r="Q22" i="4"/>
  <c r="P22" i="4" s="1"/>
  <c r="Q20" i="4"/>
  <c r="G47" i="4"/>
  <c r="C33" i="4"/>
  <c r="F33" i="4"/>
  <c r="C36" i="4"/>
  <c r="F36" i="4"/>
  <c r="W95" i="4"/>
  <c r="F34" i="4"/>
  <c r="C34" i="4"/>
  <c r="W90" i="4"/>
  <c r="W110" i="4"/>
  <c r="G49" i="4"/>
  <c r="G48" i="4"/>
  <c r="U124" i="4"/>
  <c r="V124" i="4" s="1"/>
  <c r="G65" i="4"/>
  <c r="V65" i="4" s="1"/>
  <c r="W65" i="4" s="1"/>
  <c r="AC9" i="4"/>
  <c r="W99" i="4"/>
  <c r="G96" i="4"/>
  <c r="W100" i="4"/>
  <c r="V60" i="4"/>
  <c r="W60" i="4" s="1"/>
  <c r="V76" i="4"/>
  <c r="W76" i="4" s="1"/>
  <c r="G64" i="4"/>
  <c r="V64" i="4" s="1"/>
  <c r="W64" i="4" s="1"/>
  <c r="W115" i="4"/>
  <c r="W109" i="4"/>
  <c r="W91" i="4"/>
  <c r="V68" i="4"/>
  <c r="W68" i="4" s="1"/>
  <c r="P20" i="4"/>
  <c r="G35" i="4"/>
  <c r="W113" i="4"/>
  <c r="W118" i="4"/>
  <c r="H20" i="4"/>
  <c r="T119" i="4"/>
  <c r="W98" i="4"/>
  <c r="Z9" i="4"/>
  <c r="AJ9" i="4" s="1"/>
  <c r="V61" i="4"/>
  <c r="W61" i="4" s="1"/>
  <c r="V71" i="4"/>
  <c r="W71" i="4" s="1"/>
  <c r="W97" i="4"/>
  <c r="G63" i="4"/>
  <c r="V66" i="4"/>
  <c r="W66" i="4" s="1"/>
  <c r="P82" i="4"/>
  <c r="V79" i="4"/>
  <c r="W79" i="4" s="1"/>
  <c r="W114" i="4"/>
  <c r="G54" i="4"/>
  <c r="S82" i="4"/>
  <c r="W93" i="4"/>
  <c r="G86" i="4"/>
  <c r="V72" i="4"/>
  <c r="W72" i="4" s="1"/>
  <c r="W92" i="4"/>
  <c r="V80" i="4"/>
  <c r="W80" i="4" s="1"/>
  <c r="W89" i="4"/>
  <c r="V59" i="4"/>
  <c r="W59" i="4" s="1"/>
  <c r="W39" i="4"/>
  <c r="G37" i="4"/>
  <c r="W116" i="4"/>
  <c r="W88" i="4"/>
  <c r="B56" i="4"/>
  <c r="B83" i="4" s="1"/>
  <c r="B120" i="4" s="1"/>
  <c r="G70" i="4"/>
  <c r="V70" i="4" s="1"/>
  <c r="W70" i="4" s="1"/>
  <c r="F82" i="4"/>
  <c r="Z36" i="4"/>
  <c r="AJ36" i="4" s="1"/>
  <c r="T82" i="4"/>
  <c r="W112" i="4"/>
  <c r="W87" i="4"/>
  <c r="H82" i="4"/>
  <c r="C82" i="4"/>
  <c r="W105" i="4"/>
  <c r="AJ40" i="4" l="1"/>
  <c r="Z40" i="4"/>
  <c r="S52" i="4"/>
  <c r="N18" i="4"/>
  <c r="U18" i="4" s="1"/>
  <c r="V18" i="4" s="1"/>
  <c r="W18" i="4" s="1"/>
  <c r="O9" i="4"/>
  <c r="O44" i="4" s="1"/>
  <c r="Q9" i="4"/>
  <c r="Q44" i="4" s="1"/>
  <c r="M44" i="4"/>
  <c r="M52" i="4" s="1"/>
  <c r="L52" i="4"/>
  <c r="L50" i="4"/>
  <c r="L51" i="4"/>
  <c r="L53" i="4"/>
  <c r="V96" i="4"/>
  <c r="W96" i="4" s="1"/>
  <c r="V86" i="4"/>
  <c r="W86" i="4" s="1"/>
  <c r="W119" i="4" s="1"/>
  <c r="Y119" i="4" s="1"/>
  <c r="U24" i="4"/>
  <c r="V24" i="4" s="1"/>
  <c r="W24" i="4" s="1"/>
  <c r="U22" i="4"/>
  <c r="V22" i="4" s="1"/>
  <c r="W22" i="4" s="1"/>
  <c r="K19" i="4"/>
  <c r="U19" i="4" s="1"/>
  <c r="V19" i="4" s="1"/>
  <c r="W19" i="4" s="1"/>
  <c r="R20" i="4"/>
  <c r="U20" i="4" s="1"/>
  <c r="Q52" i="4"/>
  <c r="I11" i="4"/>
  <c r="F52" i="4"/>
  <c r="F50" i="4"/>
  <c r="C50" i="4"/>
  <c r="C52" i="4"/>
  <c r="V25" i="4"/>
  <c r="W25" i="4" s="1"/>
  <c r="V37" i="4"/>
  <c r="W37" i="4" s="1"/>
  <c r="V23" i="4"/>
  <c r="W23" i="4" s="1"/>
  <c r="V38" i="4"/>
  <c r="W38" i="4" s="1"/>
  <c r="G33" i="4"/>
  <c r="G34" i="4"/>
  <c r="V49" i="4"/>
  <c r="W49" i="4" s="1"/>
  <c r="V48" i="4"/>
  <c r="W48" i="4" s="1"/>
  <c r="P9" i="4"/>
  <c r="P44" i="4" s="1"/>
  <c r="V63" i="4"/>
  <c r="W63" i="4" s="1"/>
  <c r="G119" i="4"/>
  <c r="V69" i="4"/>
  <c r="W69" i="4" s="1"/>
  <c r="T55" i="4"/>
  <c r="T56" i="4" s="1"/>
  <c r="T83" i="4" s="1"/>
  <c r="T120" i="4" s="1"/>
  <c r="G36" i="4"/>
  <c r="G32" i="4"/>
  <c r="C44" i="4"/>
  <c r="C53" i="4" s="1"/>
  <c r="U82" i="4"/>
  <c r="F44" i="4"/>
  <c r="F53" i="4" s="1"/>
  <c r="V47" i="4"/>
  <c r="G82" i="4"/>
  <c r="M50" i="4" l="1"/>
  <c r="N44" i="4"/>
  <c r="N52" i="4" s="1"/>
  <c r="L55" i="4"/>
  <c r="L56" i="4" s="1"/>
  <c r="L83" i="4" s="1"/>
  <c r="L120" i="4" s="1"/>
  <c r="M53" i="4"/>
  <c r="M51" i="4"/>
  <c r="R44" i="4"/>
  <c r="R52" i="4" s="1"/>
  <c r="U11" i="4"/>
  <c r="V11" i="4" s="1"/>
  <c r="W11" i="4" s="1"/>
  <c r="O51" i="4"/>
  <c r="O50" i="4"/>
  <c r="O53" i="4"/>
  <c r="O52" i="4"/>
  <c r="Q51" i="4"/>
  <c r="Q53" i="4"/>
  <c r="Q50" i="4"/>
  <c r="F51" i="4"/>
  <c r="C51" i="4"/>
  <c r="V36" i="4"/>
  <c r="W36" i="4" s="1"/>
  <c r="V35" i="4"/>
  <c r="W35" i="4" s="1"/>
  <c r="G44" i="4"/>
  <c r="K44" i="4"/>
  <c r="K52" i="4" s="1"/>
  <c r="S44" i="4"/>
  <c r="S50" i="4" s="1"/>
  <c r="J9" i="4"/>
  <c r="V20" i="4"/>
  <c r="W20" i="4" s="1"/>
  <c r="P53" i="4"/>
  <c r="P52" i="4"/>
  <c r="P50" i="4"/>
  <c r="P51" i="4"/>
  <c r="V82" i="4"/>
  <c r="W82" i="4" s="1"/>
  <c r="G52" i="4"/>
  <c r="W47" i="4"/>
  <c r="G50" i="4"/>
  <c r="M55" i="4" l="1"/>
  <c r="M56" i="4" s="1"/>
  <c r="M83" i="4" s="1"/>
  <c r="M120" i="4" s="1"/>
  <c r="N50" i="4"/>
  <c r="N53" i="4"/>
  <c r="N51" i="4"/>
  <c r="R50" i="4"/>
  <c r="R51" i="4"/>
  <c r="R53" i="4"/>
  <c r="Q55" i="4"/>
  <c r="Q56" i="4" s="1"/>
  <c r="Q83" i="4" s="1"/>
  <c r="Q107" i="4" s="1"/>
  <c r="J44" i="4"/>
  <c r="J52" i="4" s="1"/>
  <c r="U9" i="4"/>
  <c r="U44" i="4" s="1"/>
  <c r="O55" i="4"/>
  <c r="O56" i="4" s="1"/>
  <c r="O83" i="4" s="1"/>
  <c r="O120" i="4" s="1"/>
  <c r="K53" i="4"/>
  <c r="V32" i="4"/>
  <c r="W32" i="4" s="1"/>
  <c r="H44" i="4"/>
  <c r="V34" i="4"/>
  <c r="W34" i="4" s="1"/>
  <c r="K51" i="4"/>
  <c r="K50" i="4"/>
  <c r="I44" i="4"/>
  <c r="S53" i="4"/>
  <c r="S51" i="4"/>
  <c r="V33" i="4"/>
  <c r="W33" i="4" s="1"/>
  <c r="P55" i="4"/>
  <c r="P56" i="4" s="1"/>
  <c r="P83" i="4" s="1"/>
  <c r="P120" i="4" s="1"/>
  <c r="C55" i="4"/>
  <c r="C56" i="4" s="1"/>
  <c r="C83" i="4" s="1"/>
  <c r="C120" i="4" s="1"/>
  <c r="F55" i="4"/>
  <c r="F56" i="4" s="1"/>
  <c r="F83" i="4" s="1"/>
  <c r="F120" i="4" s="1"/>
  <c r="G53" i="4"/>
  <c r="G51" i="4"/>
  <c r="N55" i="4" l="1"/>
  <c r="N56" i="4" s="1"/>
  <c r="N83" i="4" s="1"/>
  <c r="N120" i="4" s="1"/>
  <c r="Q119" i="4"/>
  <c r="Q120" i="4" s="1"/>
  <c r="U107" i="4"/>
  <c r="R55" i="4"/>
  <c r="R56" i="4" s="1"/>
  <c r="R83" i="4" s="1"/>
  <c r="R120" i="4" s="1"/>
  <c r="V44" i="4"/>
  <c r="S55" i="4"/>
  <c r="S56" i="4" s="1"/>
  <c r="S83" i="4" s="1"/>
  <c r="S120" i="4" s="1"/>
  <c r="H52" i="4"/>
  <c r="H54" i="4"/>
  <c r="U54" i="4" s="1"/>
  <c r="K55" i="4"/>
  <c r="K56" i="4" s="1"/>
  <c r="K83" i="4" s="1"/>
  <c r="K120" i="4" s="1"/>
  <c r="H53" i="4"/>
  <c r="H51" i="4"/>
  <c r="I52" i="4"/>
  <c r="U52" i="4" s="1"/>
  <c r="I51" i="4"/>
  <c r="I50" i="4"/>
  <c r="I53" i="4"/>
  <c r="V9" i="4"/>
  <c r="W9" i="4" s="1"/>
  <c r="J50" i="4"/>
  <c r="J51" i="4"/>
  <c r="J53" i="4"/>
  <c r="F132" i="4"/>
  <c r="F125" i="4"/>
  <c r="G55" i="4"/>
  <c r="G56" i="4" s="1"/>
  <c r="G83" i="4" s="1"/>
  <c r="G120" i="4" l="1"/>
  <c r="G125" i="4" s="1"/>
  <c r="G84" i="4"/>
  <c r="W44" i="4"/>
  <c r="Y44" i="4" s="1"/>
  <c r="AF49" i="4"/>
  <c r="U50" i="4"/>
  <c r="V107" i="4"/>
  <c r="V119" i="4" s="1"/>
  <c r="U119" i="4"/>
  <c r="U53" i="4"/>
  <c r="V53" i="4" s="1"/>
  <c r="W53" i="4" s="1"/>
  <c r="U51" i="4"/>
  <c r="V51" i="4" s="1"/>
  <c r="W51" i="4" s="1"/>
  <c r="V50" i="4"/>
  <c r="W50" i="4" s="1"/>
  <c r="V54" i="4"/>
  <c r="W54" i="4" s="1"/>
  <c r="V52" i="4"/>
  <c r="W52" i="4" s="1"/>
  <c r="I55" i="4"/>
  <c r="I56" i="4" s="1"/>
  <c r="I83" i="4" s="1"/>
  <c r="I120" i="4" s="1"/>
  <c r="H55" i="4"/>
  <c r="J55" i="4"/>
  <c r="G132" i="4" l="1"/>
  <c r="G134" i="4" s="1"/>
  <c r="U55" i="4"/>
  <c r="U56" i="4" s="1"/>
  <c r="J56" i="4"/>
  <c r="J83" i="4" s="1"/>
  <c r="J120" i="4" s="1"/>
  <c r="H56" i="4"/>
  <c r="H83" i="4" s="1"/>
  <c r="H120" i="4" s="1"/>
  <c r="W55" i="4"/>
  <c r="Y55" i="4" s="1"/>
  <c r="V55" i="4"/>
  <c r="V56" i="4" s="1"/>
  <c r="V83" i="4" s="1"/>
  <c r="V120" i="4" s="1"/>
  <c r="V122" i="4" s="1"/>
  <c r="U120" i="4" l="1"/>
  <c r="U83" i="4"/>
  <c r="V132" i="4"/>
  <c r="Y120" i="4"/>
  <c r="W56" i="4"/>
  <c r="W83" i="4" s="1"/>
  <c r="Y83" i="4" s="1"/>
  <c r="V125" i="4"/>
  <c r="U134" i="4" l="1"/>
  <c r="V134" i="4" s="1"/>
  <c r="Y5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 Seckel</author>
    <author>Rich</author>
    <author>Richard Seckel</author>
  </authors>
  <commentList>
    <comment ref="C6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Interpreters and assessments
</t>
        </r>
      </text>
    </comment>
    <comment ref="U6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development and strategic planning assistance at $3000 of $6000 BGCF grant.
</t>
        </r>
      </text>
    </comment>
    <comment ref="F6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UK Work Study plus cleaning
</t>
        </r>
      </text>
    </comment>
    <comment ref="C63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Richard Seckel:</t>
        </r>
        <r>
          <rPr>
            <sz val="9"/>
            <color indexed="81"/>
            <rFont val="Tahoma"/>
            <family val="2"/>
          </rPr>
          <t xml:space="preserve">
CLINIC and bar dues</t>
        </r>
      </text>
    </comment>
    <comment ref="F6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Rich:</t>
        </r>
        <r>
          <rPr>
            <sz val="9"/>
            <color indexed="81"/>
            <rFont val="Tahoma"/>
            <family val="2"/>
          </rPr>
          <t xml:space="preserve">
Includes CLINIC, bar, AILA
</t>
        </r>
      </text>
    </comment>
    <comment ref="C6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allocation for new case management system</t>
        </r>
      </text>
    </comment>
    <comment ref="C7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Includes new office desks and chairs
</t>
        </r>
      </text>
    </comment>
    <comment ref="C7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Rich Seckel:</t>
        </r>
        <r>
          <rPr>
            <sz val="9"/>
            <color indexed="81"/>
            <rFont val="Tahoma"/>
            <family val="2"/>
          </rPr>
          <t xml:space="preserve">
In kind
</t>
        </r>
      </text>
    </comment>
  </commentList>
</comments>
</file>

<file path=xl/sharedStrings.xml><?xml version="1.0" encoding="utf-8"?>
<sst xmlns="http://schemas.openxmlformats.org/spreadsheetml/2006/main" count="456" uniqueCount="315">
  <si>
    <t>Subtotal salaries</t>
  </si>
  <si>
    <t>Workers Comp</t>
  </si>
  <si>
    <t>Unemployment</t>
  </si>
  <si>
    <t>Operating expense</t>
  </si>
  <si>
    <t>Capital Additions</t>
  </si>
  <si>
    <t>Equipment Rental</t>
  </si>
  <si>
    <t>Insurance</t>
  </si>
  <si>
    <t>Library</t>
  </si>
  <si>
    <t>Office Supplies</t>
  </si>
  <si>
    <t>Prof Tax Audit</t>
  </si>
  <si>
    <t>Prof Accounting</t>
  </si>
  <si>
    <t>Rent</t>
  </si>
  <si>
    <t>Repairs</t>
  </si>
  <si>
    <t>Subtotal operating</t>
  </si>
  <si>
    <t>Total expense</t>
  </si>
  <si>
    <t>Projected income</t>
  </si>
  <si>
    <t>Program Contributions</t>
  </si>
  <si>
    <t>Total income</t>
  </si>
  <si>
    <t>Income over expense</t>
  </si>
  <si>
    <t>Expense</t>
  </si>
  <si>
    <t>Salaries</t>
  </si>
  <si>
    <t>Benefits</t>
  </si>
  <si>
    <t>Total Payroll</t>
  </si>
  <si>
    <t>Subtotal benefits</t>
  </si>
  <si>
    <t>MSLC</t>
  </si>
  <si>
    <t>Total</t>
  </si>
  <si>
    <t>CERS retirement</t>
  </si>
  <si>
    <t>Immigrant</t>
  </si>
  <si>
    <t>Rights</t>
  </si>
  <si>
    <t>Director</t>
  </si>
  <si>
    <t>KEJC</t>
  </si>
  <si>
    <t>for KEJC column</t>
  </si>
  <si>
    <t>General</t>
  </si>
  <si>
    <t>Printing and Copying</t>
  </si>
  <si>
    <t>Language Line</t>
  </si>
  <si>
    <t>KEJC Working Papers</t>
  </si>
  <si>
    <t>Miscellaneous</t>
  </si>
  <si>
    <t>Dues</t>
  </si>
  <si>
    <t>Interest Income</t>
  </si>
  <si>
    <t xml:space="preserve">Dental </t>
  </si>
  <si>
    <t xml:space="preserve">Health </t>
  </si>
  <si>
    <t xml:space="preserve">Life </t>
  </si>
  <si>
    <t>Disability</t>
  </si>
  <si>
    <t>Postage and Delivery</t>
  </si>
  <si>
    <t>Litigation Support</t>
  </si>
  <si>
    <t>Case Management</t>
  </si>
  <si>
    <t>Small Grants</t>
  </si>
  <si>
    <t>Client Fees</t>
  </si>
  <si>
    <t>Individual Donations</t>
  </si>
  <si>
    <t>Fundraising Events</t>
  </si>
  <si>
    <t>FCBF</t>
  </si>
  <si>
    <t>Catholic Diocese</t>
  </si>
  <si>
    <t>Task Force Sponsors</t>
  </si>
  <si>
    <t>Fundraising Goal</t>
  </si>
  <si>
    <t>Employ</t>
  </si>
  <si>
    <t>Law</t>
  </si>
  <si>
    <t>Health</t>
  </si>
  <si>
    <t>IMM</t>
  </si>
  <si>
    <t>Fundraising Goal Rounded</t>
  </si>
  <si>
    <t>Attorney</t>
  </si>
  <si>
    <t>Senior</t>
  </si>
  <si>
    <t>Law Fellow</t>
  </si>
  <si>
    <t>Health Law Fellow</t>
  </si>
  <si>
    <t>Foundation Healthy KY</t>
  </si>
  <si>
    <t>Ops</t>
  </si>
  <si>
    <t>Task Forces &amp; Meetings</t>
  </si>
  <si>
    <t>Difference</t>
  </si>
  <si>
    <t>BGCF</t>
  </si>
  <si>
    <t>CHIPRA</t>
  </si>
  <si>
    <t>Boots</t>
  </si>
  <si>
    <t>Foundation Boots</t>
  </si>
  <si>
    <t>Interact for Health</t>
  </si>
  <si>
    <t>Percent</t>
  </si>
  <si>
    <t>Salary</t>
  </si>
  <si>
    <t>Increase</t>
  </si>
  <si>
    <t>Attorney Fees</t>
  </si>
  <si>
    <t>on</t>
  </si>
  <si>
    <t>Anniv</t>
  </si>
  <si>
    <t xml:space="preserve">before </t>
  </si>
  <si>
    <t>Two year average trended &amp; per grants</t>
  </si>
  <si>
    <t>Per task forces and grants</t>
  </si>
  <si>
    <t>As per MOA with programs</t>
  </si>
  <si>
    <t>Renewal</t>
  </si>
  <si>
    <t>Grant ended</t>
  </si>
  <si>
    <t>As per recent gifts</t>
  </si>
  <si>
    <t>Eliminating low yield strategy</t>
  </si>
  <si>
    <t>Legal Assistant II</t>
  </si>
  <si>
    <t>Outreach Coordinator</t>
  </si>
  <si>
    <t>DOJ</t>
  </si>
  <si>
    <t>Actuals itemized and per grants</t>
  </si>
  <si>
    <t>Actuals trended and per grants</t>
  </si>
  <si>
    <t>Minor advice, no change</t>
  </si>
  <si>
    <t>201 W. Short Bundle</t>
  </si>
  <si>
    <t>Data backup</t>
  </si>
  <si>
    <t>MSLC Lex bundle</t>
  </si>
  <si>
    <t>Louis Bundle</t>
  </si>
  <si>
    <t>Ready Talk</t>
  </si>
  <si>
    <t>Quickbooks</t>
  </si>
  <si>
    <t>NFG</t>
  </si>
  <si>
    <t>Skype</t>
  </si>
  <si>
    <t>Telephone 2018</t>
  </si>
  <si>
    <t>Net</t>
  </si>
  <si>
    <t>New Grants General</t>
  </si>
  <si>
    <t>New Grants Safety Net</t>
  </si>
  <si>
    <t>Major Gift Exploration</t>
  </si>
  <si>
    <t>FICA rate</t>
  </si>
  <si>
    <t>Actuals as per grants, current bills rounded</t>
  </si>
  <si>
    <t>United Way of Bluegrass</t>
  </si>
  <si>
    <t>New initiative</t>
  </si>
  <si>
    <t>As per investment policy</t>
  </si>
  <si>
    <t>VOCA</t>
  </si>
  <si>
    <t>VOCA Legal Assistant</t>
  </si>
  <si>
    <t>In-Kind Rent</t>
  </si>
  <si>
    <t>FICA 7.65%</t>
  </si>
  <si>
    <t>Senior Counsel</t>
  </si>
  <si>
    <t>Wix website</t>
  </si>
  <si>
    <t>Actuals trended over 2 years</t>
  </si>
  <si>
    <t>Actuals trended including giving days</t>
  </si>
  <si>
    <t>AILA and congregations</t>
  </si>
  <si>
    <t>Lowered risk</t>
  </si>
  <si>
    <t xml:space="preserve">Food </t>
  </si>
  <si>
    <t>Justice</t>
  </si>
  <si>
    <t>Food</t>
  </si>
  <si>
    <t>Food Justice Fellow</t>
  </si>
  <si>
    <t>Travel and Training</t>
  </si>
  <si>
    <t>As per last three year audit bid</t>
  </si>
  <si>
    <t>Current rent December 2019</t>
  </si>
  <si>
    <t>As per grant budget, annualized</t>
  </si>
  <si>
    <t>As per 2019 levels</t>
  </si>
  <si>
    <t>Bar Grants KBF LBF</t>
  </si>
  <si>
    <t xml:space="preserve">Actuals trended </t>
  </si>
  <si>
    <t>PIF</t>
  </si>
  <si>
    <t>Clearpath rate 0.19 per hundred</t>
  </si>
  <si>
    <t>Workstations, printers, scanners, phones</t>
  </si>
  <si>
    <t>No AmeriCorps, work study, cleaning</t>
  </si>
  <si>
    <t>Trended including board meeting cost</t>
  </si>
  <si>
    <t>Annual fees, training</t>
  </si>
  <si>
    <t>2020 grant amount</t>
  </si>
  <si>
    <t>Potential increase under new regional plan</t>
  </si>
  <si>
    <t>Two years trended</t>
  </si>
  <si>
    <t>VOCA Fellow II DOJ</t>
  </si>
  <si>
    <t>Resource Organizer</t>
  </si>
  <si>
    <t>MAZON</t>
  </si>
  <si>
    <t>$1 per hour on anniversary</t>
  </si>
  <si>
    <t>Housing</t>
  </si>
  <si>
    <t xml:space="preserve">Attorney </t>
  </si>
  <si>
    <t>Atty / DOJ</t>
  </si>
  <si>
    <t>Kentucky Housing</t>
  </si>
  <si>
    <t>KCET</t>
  </si>
  <si>
    <t>Mason Fund</t>
  </si>
  <si>
    <t>1.0 % increase</t>
  </si>
  <si>
    <t>Scale plus supervision</t>
  </si>
  <si>
    <t>Scale</t>
  </si>
  <si>
    <t>KHC Housing Outreach Lead I</t>
  </si>
  <si>
    <t>KHC Housing Outreach Lead II</t>
  </si>
  <si>
    <t>Scale @ 32 hour week</t>
  </si>
  <si>
    <t>Immigration Attorney PD</t>
  </si>
  <si>
    <t>-2022</t>
  </si>
  <si>
    <t>Scale @ starting rate for 7 months</t>
  </si>
  <si>
    <t>KEJC with Maxwell Street Legal Clinic 2023</t>
  </si>
  <si>
    <t>Resource</t>
  </si>
  <si>
    <t>Organizer</t>
  </si>
  <si>
    <t xml:space="preserve">Comms </t>
  </si>
  <si>
    <t>DEI 2023 rates based on plan choices</t>
  </si>
  <si>
    <t>Metlife 2023 rate</t>
  </si>
  <si>
    <t>UI 2022 and KEJC base rate</t>
  </si>
  <si>
    <t>Comms Associate</t>
  </si>
  <si>
    <t>Louisville Outreach Coordinator</t>
  </si>
  <si>
    <t>Subgrants</t>
  </si>
  <si>
    <t>Consultants</t>
  </si>
  <si>
    <t>Comms</t>
  </si>
  <si>
    <t>Contract Accounting</t>
  </si>
  <si>
    <t>The Charity CFO</t>
  </si>
  <si>
    <t>Printers, postage meter as per vendor rates</t>
  </si>
  <si>
    <t>Contract Labor / AmeriCorps</t>
  </si>
  <si>
    <t>New category</t>
  </si>
  <si>
    <t xml:space="preserve">Two year average trended    </t>
  </si>
  <si>
    <t>Telecomm</t>
  </si>
  <si>
    <t>Vendor</t>
  </si>
  <si>
    <t>Type</t>
  </si>
  <si>
    <t>Windstream</t>
  </si>
  <si>
    <t>Internet</t>
  </si>
  <si>
    <t>Charter</t>
  </si>
  <si>
    <t>Nextiva</t>
  </si>
  <si>
    <t>Phone</t>
  </si>
  <si>
    <t>Action Network</t>
  </si>
  <si>
    <t>CRM</t>
  </si>
  <si>
    <t>Bloomerang</t>
  </si>
  <si>
    <t>Network for Good</t>
  </si>
  <si>
    <t>Six months</t>
  </si>
  <si>
    <t>QBO</t>
  </si>
  <si>
    <t>Accounting</t>
  </si>
  <si>
    <t>ADP</t>
  </si>
  <si>
    <t>Payroll</t>
  </si>
  <si>
    <t>Listserve</t>
  </si>
  <si>
    <t>Simplelists</t>
  </si>
  <si>
    <t>Storeitoffistie</t>
  </si>
  <si>
    <t>Video</t>
  </si>
  <si>
    <t>Zoom</t>
  </si>
  <si>
    <t xml:space="preserve">Video </t>
  </si>
  <si>
    <t>Dotster</t>
  </si>
  <si>
    <t>Web domain</t>
  </si>
  <si>
    <t>Wix</t>
  </si>
  <si>
    <t>Website</t>
  </si>
  <si>
    <t>Google Voice</t>
  </si>
  <si>
    <t>six months</t>
  </si>
  <si>
    <t xml:space="preserve">Loomly </t>
  </si>
  <si>
    <t>Social Media</t>
  </si>
  <si>
    <t>Phone Interpret</t>
  </si>
  <si>
    <t>Economic Justice Attorney</t>
  </si>
  <si>
    <t>Telecomm and CRM</t>
  </si>
  <si>
    <t>New phone system, language access</t>
  </si>
  <si>
    <t>Donor engagement events</t>
  </si>
  <si>
    <t xml:space="preserve">No PIF renewal </t>
  </si>
  <si>
    <t>Fayette County Housing</t>
  </si>
  <si>
    <t>Vanguard</t>
  </si>
  <si>
    <t>Cy Pres</t>
  </si>
  <si>
    <t>Nonprofit relief</t>
  </si>
  <si>
    <t>RJDEI consultant, graphic design, MSLC scan</t>
  </si>
  <si>
    <t>Medicaid case fees likely in 2023</t>
  </si>
  <si>
    <t>Available 1-time unrestricted</t>
  </si>
  <si>
    <t>Compatibility Report for KEJC with MSLC by program 2023 draft rescued.xls</t>
  </si>
  <si>
    <t>Run on 12/8/2022 6:25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</si>
  <si>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</si>
  <si>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</si>
  <si>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</si>
  <si>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</si>
  <si>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</si>
  <si>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</si>
  <si>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Renewal of CBPP food justice support</t>
  </si>
  <si>
    <t>Subtotal</t>
  </si>
  <si>
    <t>VOCA Fellow I Attorney New</t>
  </si>
  <si>
    <t>Immigration Attorney New</t>
  </si>
  <si>
    <t>Went full time March 1</t>
  </si>
  <si>
    <t>Legal Intake Specialist</t>
  </si>
  <si>
    <t>KFAN Coordinator</t>
  </si>
  <si>
    <t>Scale @ 5 years</t>
  </si>
  <si>
    <t>Scale plus supervision starting August</t>
  </si>
  <si>
    <t>Health Justice Vital Strategies</t>
  </si>
  <si>
    <t>Health Vital</t>
  </si>
  <si>
    <t>Strategies</t>
  </si>
  <si>
    <t>Vital Strategies Outreach</t>
  </si>
  <si>
    <t>LFUCG Housing Attorney</t>
  </si>
  <si>
    <t>LFUCG Resources</t>
  </si>
  <si>
    <t>LFUCG Outreach I</t>
  </si>
  <si>
    <t>LFUCG Outreach II</t>
  </si>
  <si>
    <t>Operations Director</t>
  </si>
  <si>
    <t>Scale plus supervision but position ending</t>
  </si>
  <si>
    <t>New position at 5 years starting September</t>
  </si>
  <si>
    <t>KHC</t>
  </si>
  <si>
    <t>LFUCG</t>
  </si>
  <si>
    <t>Housing Justice Attorney</t>
  </si>
  <si>
    <t>LFUCG Housing Attorney II</t>
  </si>
  <si>
    <t>Communications Director</t>
  </si>
  <si>
    <t>Scale for new position hiree</t>
  </si>
  <si>
    <t>Scale @ 5 years starting in August</t>
  </si>
  <si>
    <t>Scale @5 years plus supervision new position</t>
  </si>
  <si>
    <t>New hire first full pay period April 1-15</t>
  </si>
  <si>
    <t>Scale plus supervision @ 5 years</t>
  </si>
  <si>
    <t>Scale @ 8 years</t>
  </si>
  <si>
    <t>Scale @ 3 years</t>
  </si>
  <si>
    <t xml:space="preserve">KHC / LFUCG Outreach </t>
  </si>
  <si>
    <t>Premium</t>
  </si>
  <si>
    <t>VOCA $</t>
  </si>
  <si>
    <t>Imm $</t>
  </si>
  <si>
    <t>Total $</t>
  </si>
  <si>
    <t>Dental</t>
  </si>
  <si>
    <t>UI</t>
  </si>
  <si>
    <t>VOCA %</t>
  </si>
  <si>
    <t>Imm %</t>
  </si>
  <si>
    <t>Life</t>
  </si>
  <si>
    <t>Contrib</t>
  </si>
  <si>
    <t>KHC %</t>
  </si>
  <si>
    <t>Lex %</t>
  </si>
  <si>
    <t>KHC $</t>
  </si>
  <si>
    <t>Lex $</t>
  </si>
  <si>
    <t>Stef</t>
  </si>
  <si>
    <t>Emma</t>
  </si>
  <si>
    <t>Laura</t>
  </si>
  <si>
    <t>Ebony</t>
  </si>
  <si>
    <t>New I</t>
  </si>
  <si>
    <t>New II</t>
  </si>
  <si>
    <t>New</t>
  </si>
  <si>
    <t>CERS 2022 &amp; 2023 rates prorated 25.065%</t>
  </si>
  <si>
    <t>Vital</t>
  </si>
  <si>
    <t>Lexington Housing</t>
  </si>
  <si>
    <t>CFA Humana</t>
  </si>
  <si>
    <t>Vital Strategies Health</t>
  </si>
  <si>
    <t>Operations</t>
  </si>
  <si>
    <t>Indirect cost</t>
  </si>
  <si>
    <t>FRAC WIC</t>
  </si>
  <si>
    <t>Proposed revision</t>
  </si>
  <si>
    <t>Louisville Community Ministry</t>
  </si>
  <si>
    <t>Remote</t>
  </si>
  <si>
    <t>Support</t>
  </si>
  <si>
    <t>COLA</t>
  </si>
  <si>
    <t>$1/hour</t>
  </si>
  <si>
    <t>Tiered</t>
  </si>
  <si>
    <t>$60-120</t>
  </si>
  <si>
    <t>COLA plus</t>
  </si>
  <si>
    <t>Shred-it, Courtnet, interpretation</t>
  </si>
  <si>
    <t>annually</t>
  </si>
  <si>
    <t>with fringe</t>
  </si>
  <si>
    <t>Available carryover from 2022</t>
  </si>
  <si>
    <t>COLA+</t>
  </si>
  <si>
    <t>Monthly</t>
  </si>
  <si>
    <t>Remote+</t>
  </si>
  <si>
    <t xml:space="preserve">Average Raise </t>
  </si>
  <si>
    <t xml:space="preserve">Monthly </t>
  </si>
  <si>
    <t>COLA % of Salary Total</t>
  </si>
  <si>
    <t>COLA average for current staff</t>
  </si>
  <si>
    <t>COLA average plus increment</t>
  </si>
  <si>
    <t xml:space="preserve">Annual </t>
  </si>
  <si>
    <t>2023 Assumptions</t>
  </si>
  <si>
    <t>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</si>
</sst>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000"/>
  </numFmts>
  <fonts count="31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rgb="FFFF0000"/>
      <name val="Arial"/>
      <family val="2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37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6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4" fontId="0" fillId="0" borderId="0" xfId="0" applyNumberFormat="1"/>
    <xf numFmtId="4" fontId="10" fillId="0" borderId="0" xfId="0" applyNumberFormat="1" applyFont="1" applyProtection="1">
      <protection locked="0"/>
    </xf>
    <xf numFmtId="43" fontId="0" fillId="0" borderId="0" xfId="1" applyFont="1"/>
    <xf numFmtId="43" fontId="6" fillId="0" borderId="0" xfId="0" applyNumberFormat="1" applyFont="1" applyProtection="1">
      <protection locked="0"/>
    </xf>
    <xf numFmtId="43" fontId="0" fillId="0" borderId="0" xfId="1" applyFont="1" applyAlignment="1">
      <alignment horizontal="left"/>
    </xf>
    <xf numFmtId="39" fontId="0" fillId="0" borderId="0" xfId="1" applyNumberFormat="1" applyFont="1" applyAlignment="1"/>
    <xf numFmtId="0" fontId="10" fillId="0" borderId="0" xfId="0" applyFont="1" applyProtection="1">
      <protection locked="0"/>
    </xf>
    <xf numFmtId="4" fontId="6" fillId="0" borderId="0" xfId="1" applyNumberFormat="1" applyFont="1" applyFill="1" applyBorder="1" applyAlignme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3" fontId="10" fillId="0" borderId="0" xfId="1" applyFont="1" applyFill="1" applyBorder="1" applyAlignme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7" fontId="3" fillId="0" borderId="0" xfId="0" applyNumberFormat="1" applyFont="1" applyAlignment="1" applyProtection="1">
      <alignment horizontal="right"/>
      <protection locked="0"/>
    </xf>
    <xf numFmtId="164" fontId="0" fillId="0" borderId="0" xfId="2" applyNumberFormat="1" applyFont="1"/>
    <xf numFmtId="4" fontId="3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Protection="1">
      <protection locked="0"/>
    </xf>
    <xf numFmtId="4" fontId="19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4" fontId="0" fillId="0" borderId="0" xfId="1" applyNumberFormat="1" applyFont="1" applyBorder="1"/>
    <xf numFmtId="4" fontId="6" fillId="0" borderId="0" xfId="0" applyNumberFormat="1" applyFont="1" applyAlignment="1" applyProtection="1">
      <alignment vertical="top"/>
      <protection locked="0"/>
    </xf>
    <xf numFmtId="4" fontId="22" fillId="0" borderId="0" xfId="0" applyNumberFormat="1" applyFont="1" applyProtection="1">
      <protection locked="0"/>
    </xf>
    <xf numFmtId="10" fontId="6" fillId="0" borderId="0" xfId="2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49" fontId="6" fillId="0" borderId="0" xfId="0" applyNumberFormat="1" applyFont="1"/>
    <xf numFmtId="0" fontId="3" fillId="0" borderId="0" xfId="0" applyFont="1" applyAlignment="1">
      <alignment horizontal="left" indent="1"/>
    </xf>
    <xf numFmtId="0" fontId="6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4" fontId="6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4" fontId="20" fillId="0" borderId="1" xfId="0" applyNumberFormat="1" applyFont="1" applyBorder="1" applyProtection="1">
      <protection locked="0"/>
    </xf>
    <xf numFmtId="17" fontId="3" fillId="0" borderId="1" xfId="0" applyNumberFormat="1" applyFont="1" applyBorder="1" applyAlignment="1" applyProtection="1">
      <alignment horizontal="right"/>
      <protection locked="0"/>
    </xf>
    <xf numFmtId="4" fontId="6" fillId="0" borderId="1" xfId="1" applyNumberFormat="1" applyFont="1" applyFill="1" applyBorder="1" applyAlignment="1" applyProtection="1">
      <protection locked="0"/>
    </xf>
    <xf numFmtId="4" fontId="0" fillId="0" borderId="1" xfId="1" applyNumberFormat="1" applyFont="1" applyBorder="1"/>
    <xf numFmtId="4" fontId="8" fillId="0" borderId="1" xfId="0" applyNumberFormat="1" applyFont="1" applyBorder="1" applyProtection="1">
      <protection locked="0"/>
    </xf>
    <xf numFmtId="0" fontId="23" fillId="0" borderId="0" xfId="0" applyFont="1" applyProtection="1">
      <protection locked="0"/>
    </xf>
    <xf numFmtId="17" fontId="1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4" fontId="20" fillId="0" borderId="2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/>
    <xf numFmtId="0" fontId="3" fillId="0" borderId="0" xfId="0" applyFont="1"/>
    <xf numFmtId="4" fontId="6" fillId="0" borderId="3" xfId="0" applyNumberFormat="1" applyFont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7" fontId="3" fillId="2" borderId="1" xfId="0" applyNumberFormat="1" applyFont="1" applyFill="1" applyBorder="1" applyAlignment="1" applyProtection="1">
      <alignment horizontal="right"/>
      <protection locked="0"/>
    </xf>
    <xf numFmtId="4" fontId="6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10" fontId="0" fillId="0" borderId="0" xfId="0" applyNumberFormat="1"/>
    <xf numFmtId="0" fontId="16" fillId="0" borderId="0" xfId="0" applyFont="1"/>
    <xf numFmtId="0" fontId="16" fillId="0" borderId="0" xfId="0" applyFont="1" applyProtection="1">
      <protection locked="0"/>
    </xf>
    <xf numFmtId="9" fontId="6" fillId="0" borderId="0" xfId="2" applyFont="1" applyFill="1" applyBorder="1" applyAlignment="1" applyProtection="1">
      <alignment horizontal="left"/>
      <protection locked="0"/>
    </xf>
    <xf numFmtId="164" fontId="0" fillId="0" borderId="0" xfId="2" applyNumberFormat="1" applyFont="1" applyFill="1"/>
    <xf numFmtId="4" fontId="6" fillId="0" borderId="0" xfId="0" applyNumberFormat="1" applyFont="1"/>
    <xf numFmtId="164" fontId="17" fillId="0" borderId="0" xfId="2" applyNumberFormat="1" applyFont="1" applyFill="1"/>
    <xf numFmtId="0" fontId="3" fillId="0" borderId="2" xfId="0" applyFont="1" applyBorder="1" applyAlignment="1" applyProtection="1">
      <alignment horizontal="right"/>
      <protection locked="0"/>
    </xf>
    <xf numFmtId="17" fontId="3" fillId="0" borderId="2" xfId="0" applyNumberFormat="1" applyFont="1" applyBorder="1" applyAlignment="1" applyProtection="1">
      <alignment horizontal="right"/>
      <protection locked="0"/>
    </xf>
    <xf numFmtId="4" fontId="6" fillId="0" borderId="0" xfId="1" applyNumberFormat="1" applyFont="1" applyFill="1" applyBorder="1"/>
    <xf numFmtId="9" fontId="18" fillId="0" borderId="0" xfId="2" applyFont="1" applyFill="1"/>
    <xf numFmtId="10" fontId="0" fillId="0" borderId="0" xfId="2" applyNumberFormat="1" applyFont="1"/>
    <xf numFmtId="10" fontId="0" fillId="0" borderId="0" xfId="2" applyNumberFormat="1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164" fontId="3" fillId="0" borderId="0" xfId="2" applyNumberFormat="1" applyFont="1" applyFill="1" applyBorder="1" applyAlignment="1" applyProtection="1">
      <alignment horizontal="left"/>
      <protection locked="0"/>
    </xf>
    <xf numFmtId="0" fontId="0" fillId="0" borderId="2" xfId="0" applyBorder="1"/>
    <xf numFmtId="4" fontId="26" fillId="0" borderId="0" xfId="0" applyNumberFormat="1" applyFont="1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3" fillId="0" borderId="0" xfId="0" applyNumberFormat="1" applyFont="1" applyProtection="1">
      <protection locked="0"/>
    </xf>
    <xf numFmtId="4" fontId="24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4" fontId="26" fillId="0" borderId="2" xfId="0" applyNumberFormat="1" applyFont="1" applyBorder="1" applyProtection="1">
      <protection locked="0"/>
    </xf>
    <xf numFmtId="4" fontId="24" fillId="0" borderId="2" xfId="0" applyNumberFormat="1" applyFont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4" fontId="25" fillId="2" borderId="2" xfId="0" applyNumberFormat="1" applyFont="1" applyFill="1" applyBorder="1" applyProtection="1">
      <protection locked="0"/>
    </xf>
    <xf numFmtId="4" fontId="24" fillId="2" borderId="2" xfId="0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4" fontId="6" fillId="0" borderId="0" xfId="0" applyNumberFormat="1" applyFont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9" fontId="6" fillId="0" borderId="0" xfId="2" applyFont="1" applyProtection="1">
      <protection locked="0"/>
    </xf>
    <xf numFmtId="0" fontId="27" fillId="0" borderId="0" xfId="0" applyFont="1"/>
    <xf numFmtId="0" fontId="28" fillId="0" borderId="0" xfId="0" applyFont="1" applyAlignment="1">
      <alignment horizontal="right"/>
    </xf>
    <xf numFmtId="2" fontId="27" fillId="0" borderId="0" xfId="0" applyNumberFormat="1" applyFont="1"/>
    <xf numFmtId="0" fontId="28" fillId="0" borderId="0" xfId="0" applyFont="1" applyProtection="1">
      <protection locked="0"/>
    </xf>
    <xf numFmtId="0" fontId="28" fillId="0" borderId="0" xfId="0" applyFont="1"/>
    <xf numFmtId="0" fontId="27" fillId="0" borderId="7" xfId="0" applyFont="1" applyBorder="1"/>
    <xf numFmtId="165" fontId="27" fillId="0" borderId="0" xfId="0" applyNumberFormat="1" applyFont="1"/>
    <xf numFmtId="0" fontId="0" fillId="0" borderId="7" xfId="0" applyBorder="1"/>
    <xf numFmtId="2" fontId="27" fillId="0" borderId="7" xfId="0" applyNumberFormat="1" applyFont="1" applyBorder="1"/>
    <xf numFmtId="0" fontId="27" fillId="0" borderId="0" xfId="0" applyFont="1" applyAlignment="1">
      <alignment horizontal="right"/>
    </xf>
    <xf numFmtId="9" fontId="27" fillId="0" borderId="0" xfId="2" applyFont="1"/>
    <xf numFmtId="2" fontId="27" fillId="0" borderId="0" xfId="0" applyNumberFormat="1" applyFont="1" applyAlignment="1">
      <alignment horizontal="right"/>
    </xf>
    <xf numFmtId="2" fontId="27" fillId="0" borderId="7" xfId="0" applyNumberFormat="1" applyFont="1" applyBorder="1" applyAlignment="1">
      <alignment horizontal="right"/>
    </xf>
    <xf numFmtId="9" fontId="27" fillId="0" borderId="7" xfId="2" applyFont="1" applyBorder="1"/>
    <xf numFmtId="4" fontId="8" fillId="0" borderId="0" xfId="0" applyNumberFormat="1" applyFont="1" applyProtection="1">
      <protection locked="0"/>
    </xf>
    <xf numFmtId="3" fontId="0" fillId="0" borderId="0" xfId="0" applyNumberFormat="1"/>
    <xf numFmtId="3" fontId="6" fillId="0" borderId="0" xfId="0" applyNumberFormat="1" applyFont="1"/>
    <xf numFmtId="9" fontId="6" fillId="0" borderId="0" xfId="0" applyNumberFormat="1" applyFont="1" applyAlignment="1">
      <alignment horizontal="left" indent="1"/>
    </xf>
    <xf numFmtId="6" fontId="3" fillId="0" borderId="0" xfId="0" applyNumberFormat="1" applyFont="1" applyAlignment="1">
      <alignment horizontal="right"/>
    </xf>
    <xf numFmtId="4" fontId="29" fillId="2" borderId="2" xfId="0" applyNumberFormat="1" applyFont="1" applyFill="1" applyBorder="1" applyProtection="1">
      <protection locked="0"/>
    </xf>
    <xf numFmtId="164" fontId="6" fillId="0" borderId="0" xfId="2" applyNumberFormat="1" applyFont="1"/>
    <xf numFmtId="4" fontId="30" fillId="3" borderId="0" xfId="3" applyNumberFormat="1" applyProtection="1">
      <protection locked="0"/>
    </xf>
    <xf numFmtId="1" fontId="0" fillId="0" borderId="0" xfId="0" applyNumberFormat="1"/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workbookViewId="0">
      <selection activeCell="B16" sqref="B16"/>
    </sheetView>
  </sheetViews>
  <sheetFormatPr defaultColWidth="10" defaultRowHeight="12.75" x14ac:dyDescent="0.2"/>
  <cols>
    <col min="1" max="1" width="20" style="2" customWidth="1"/>
    <col min="2" max="2" width="12" style="2" customWidth="1"/>
    <col min="3" max="4" width="13" style="2" customWidth="1"/>
    <col min="5" max="5" width="11.42578125" style="2" customWidth="1"/>
    <col min="6" max="6" width="3" style="2" customWidth="1"/>
    <col min="7" max="7" width="12" style="2" customWidth="1"/>
    <col min="8" max="8" width="9" style="2" customWidth="1"/>
    <col min="9" max="9" width="9.140625" customWidth="1"/>
    <col min="10" max="16384" width="10" style="2"/>
  </cols>
  <sheetData>
    <row r="1" spans="1:7" ht="18" x14ac:dyDescent="0.25">
      <c r="A1" s="23" t="s">
        <v>35</v>
      </c>
      <c r="B1" s="4"/>
      <c r="C1" s="4"/>
      <c r="D1" s="4"/>
      <c r="E1" s="4"/>
      <c r="G1" s="5"/>
    </row>
    <row r="2" spans="1:7" x14ac:dyDescent="0.2">
      <c r="A2" s="9" t="s">
        <v>31</v>
      </c>
      <c r="B2" s="4"/>
      <c r="C2" s="4"/>
      <c r="D2" s="4"/>
      <c r="E2" s="4"/>
      <c r="G2" s="4"/>
    </row>
    <row r="3" spans="1:7" x14ac:dyDescent="0.2">
      <c r="A3" s="9"/>
      <c r="B3" s="4"/>
      <c r="C3" s="4"/>
      <c r="D3" s="4"/>
      <c r="E3" s="4"/>
      <c r="G3" s="4"/>
    </row>
    <row r="4" spans="1:7" x14ac:dyDescent="0.2">
      <c r="A4" s="21"/>
      <c r="B4" s="16"/>
      <c r="C4" s="26"/>
      <c r="D4" s="26"/>
      <c r="E4" s="26"/>
      <c r="F4" s="25"/>
      <c r="G4" s="21"/>
    </row>
    <row r="5" spans="1:7" x14ac:dyDescent="0.2">
      <c r="A5" s="1" t="s">
        <v>100</v>
      </c>
      <c r="B5" s="27" t="s">
        <v>19</v>
      </c>
      <c r="C5" s="26"/>
      <c r="D5" s="26"/>
      <c r="E5" s="26"/>
      <c r="F5" s="25"/>
      <c r="G5" s="21"/>
    </row>
    <row r="6" spans="1:7" x14ac:dyDescent="0.2">
      <c r="A6" s="4" t="s">
        <v>92</v>
      </c>
      <c r="B6" s="16">
        <f>218*12</f>
        <v>2616</v>
      </c>
      <c r="C6" s="26"/>
      <c r="D6" s="26"/>
      <c r="E6" s="26"/>
      <c r="F6" s="25"/>
      <c r="G6" s="21"/>
    </row>
    <row r="7" spans="1:7" x14ac:dyDescent="0.2">
      <c r="A7" s="4" t="s">
        <v>93</v>
      </c>
      <c r="B7" s="16">
        <f>53*12</f>
        <v>636</v>
      </c>
      <c r="C7" s="26"/>
      <c r="D7" s="26"/>
      <c r="E7" s="26"/>
      <c r="F7" s="25"/>
      <c r="G7" s="21"/>
    </row>
    <row r="8" spans="1:7" x14ac:dyDescent="0.2">
      <c r="A8" s="4" t="s">
        <v>115</v>
      </c>
      <c r="B8" s="16">
        <v>600</v>
      </c>
      <c r="C8" s="26"/>
      <c r="D8" s="26"/>
      <c r="E8" s="26"/>
      <c r="F8" s="25"/>
      <c r="G8" s="21"/>
    </row>
    <row r="9" spans="1:7" x14ac:dyDescent="0.2">
      <c r="A9" s="4" t="s">
        <v>94</v>
      </c>
      <c r="B9" s="16">
        <f>(269.96+0.04)*12</f>
        <v>3240</v>
      </c>
      <c r="C9" s="16"/>
      <c r="D9" s="16"/>
      <c r="E9" s="16"/>
      <c r="F9" s="25"/>
      <c r="G9" s="21"/>
    </row>
    <row r="10" spans="1:7" x14ac:dyDescent="0.2">
      <c r="A10" s="4" t="s">
        <v>95</v>
      </c>
      <c r="B10" s="16">
        <f>(144.08+0.92)*12</f>
        <v>1740</v>
      </c>
      <c r="C10" s="16"/>
      <c r="D10" s="16"/>
      <c r="E10" s="16"/>
      <c r="F10" s="25"/>
      <c r="G10" s="21"/>
    </row>
    <row r="11" spans="1:7" x14ac:dyDescent="0.2">
      <c r="A11" s="4" t="s">
        <v>96</v>
      </c>
      <c r="B11" s="16">
        <v>768</v>
      </c>
      <c r="C11" s="16"/>
      <c r="D11" s="16"/>
      <c r="E11" s="16"/>
      <c r="F11" s="25"/>
      <c r="G11" s="21"/>
    </row>
    <row r="12" spans="1:7" x14ac:dyDescent="0.2">
      <c r="A12" s="4" t="s">
        <v>34</v>
      </c>
      <c r="B12" s="7">
        <f>320*12</f>
        <v>3840</v>
      </c>
      <c r="C12" s="7"/>
      <c r="D12" s="7"/>
      <c r="E12" s="7"/>
      <c r="G12" s="21"/>
    </row>
    <row r="13" spans="1:7" x14ac:dyDescent="0.2">
      <c r="A13" s="4" t="s">
        <v>97</v>
      </c>
      <c r="B13" s="16">
        <f>(131.2+15)*12</f>
        <v>1754.3999999999999</v>
      </c>
      <c r="C13" s="7"/>
      <c r="D13" s="7"/>
      <c r="E13" s="7"/>
      <c r="G13" s="21"/>
    </row>
    <row r="14" spans="1:7" x14ac:dyDescent="0.2">
      <c r="A14" s="4" t="s">
        <v>98</v>
      </c>
      <c r="B14" s="7">
        <f>119*12</f>
        <v>1428</v>
      </c>
      <c r="C14" s="7"/>
      <c r="D14" s="7"/>
      <c r="E14" s="7"/>
      <c r="G14" s="21"/>
    </row>
    <row r="15" spans="1:7" x14ac:dyDescent="0.2">
      <c r="A15" s="4" t="s">
        <v>99</v>
      </c>
      <c r="B15" s="7">
        <v>120</v>
      </c>
      <c r="C15" s="7"/>
      <c r="D15" s="7"/>
      <c r="E15" s="7"/>
      <c r="G15" s="21"/>
    </row>
    <row r="16" spans="1:7" x14ac:dyDescent="0.2">
      <c r="A16" s="4"/>
      <c r="B16" s="7">
        <f>SUM(B6:B14)</f>
        <v>16622.400000000001</v>
      </c>
      <c r="C16" s="7"/>
      <c r="D16" s="7"/>
      <c r="E16" s="7"/>
      <c r="G16" s="12"/>
    </row>
    <row r="17" spans="1:7" x14ac:dyDescent="0.2">
      <c r="A17" s="4"/>
      <c r="B17" s="7"/>
      <c r="C17" s="7"/>
      <c r="D17" s="7"/>
      <c r="E17" s="7"/>
      <c r="G17" s="12"/>
    </row>
    <row r="18" spans="1:7" x14ac:dyDescent="0.2">
      <c r="A18" s="9"/>
      <c r="B18" s="7"/>
      <c r="C18" s="7"/>
      <c r="D18" s="7"/>
      <c r="E18" s="7"/>
      <c r="G18" s="13"/>
    </row>
    <row r="19" spans="1:7" x14ac:dyDescent="0.2">
      <c r="A19" s="21"/>
      <c r="B19" s="7"/>
      <c r="C19" s="7"/>
      <c r="D19" s="7"/>
      <c r="E19" s="7"/>
      <c r="G19" s="13"/>
    </row>
    <row r="20" spans="1:7" x14ac:dyDescent="0.2">
      <c r="A20" s="21"/>
      <c r="B20" s="7"/>
      <c r="C20" s="7"/>
      <c r="D20" s="7"/>
      <c r="E20" s="7"/>
      <c r="G20" s="24"/>
    </row>
    <row r="21" spans="1:7" x14ac:dyDescent="0.2">
      <c r="A21" s="21"/>
      <c r="B21" s="7"/>
      <c r="C21" s="7"/>
      <c r="D21" s="7"/>
      <c r="E21" s="7"/>
      <c r="G21" s="24"/>
    </row>
    <row r="22" spans="1:7" x14ac:dyDescent="0.2">
      <c r="A22" s="9"/>
      <c r="B22" s="7"/>
      <c r="C22" s="7"/>
      <c r="D22" s="7"/>
      <c r="E22" s="7"/>
      <c r="G22" s="12"/>
    </row>
    <row r="23" spans="1:7" x14ac:dyDescent="0.2">
      <c r="A23" s="4"/>
      <c r="B23" s="7"/>
      <c r="C23" s="7"/>
      <c r="D23" s="7"/>
      <c r="E23" s="7"/>
      <c r="G23" s="4"/>
    </row>
    <row r="24" spans="1:7" x14ac:dyDescent="0.2">
      <c r="A24" s="1"/>
      <c r="B24" s="7"/>
      <c r="C24" s="7"/>
      <c r="D24" s="7"/>
      <c r="E24" s="7"/>
      <c r="G24" s="4"/>
    </row>
    <row r="25" spans="1:7" x14ac:dyDescent="0.2">
      <c r="A25" s="4"/>
      <c r="B25" s="7"/>
      <c r="C25" s="7"/>
      <c r="D25" s="7"/>
      <c r="E25" s="7"/>
      <c r="G25" s="4"/>
    </row>
    <row r="26" spans="1:7" x14ac:dyDescent="0.2">
      <c r="A26" s="1"/>
      <c r="B26" s="7"/>
      <c r="C26" s="7"/>
      <c r="D26" s="7"/>
      <c r="E26" s="7"/>
      <c r="G26" s="4"/>
    </row>
    <row r="27" spans="1:7" x14ac:dyDescent="0.2">
      <c r="A27" s="4"/>
      <c r="B27" s="7"/>
      <c r="C27" s="7"/>
      <c r="D27" s="7"/>
      <c r="E27" s="7"/>
      <c r="G27" s="4"/>
    </row>
    <row r="28" spans="1:7" x14ac:dyDescent="0.2">
      <c r="A28" s="4"/>
      <c r="B28" s="7"/>
      <c r="C28" s="7"/>
      <c r="D28" s="7"/>
      <c r="E28" s="7"/>
      <c r="G28" s="12"/>
    </row>
    <row r="29" spans="1:7" x14ac:dyDescent="0.2">
      <c r="A29" s="4"/>
      <c r="B29" s="7"/>
      <c r="C29" s="7"/>
      <c r="D29" s="7"/>
      <c r="E29" s="7"/>
      <c r="G29" s="12"/>
    </row>
    <row r="30" spans="1:7" x14ac:dyDescent="0.2">
      <c r="A30" s="12"/>
      <c r="B30" s="7"/>
      <c r="C30" s="7"/>
      <c r="D30" s="7"/>
      <c r="E30" s="7"/>
      <c r="G30" s="4"/>
    </row>
    <row r="31" spans="1:7" x14ac:dyDescent="0.2">
      <c r="A31" s="4"/>
      <c r="B31" s="7"/>
      <c r="C31" s="7"/>
      <c r="D31" s="7"/>
      <c r="E31" s="7"/>
      <c r="G31" s="4"/>
    </row>
    <row r="32" spans="1:7" x14ac:dyDescent="0.2">
      <c r="A32" s="4"/>
      <c r="B32" s="7"/>
      <c r="C32" s="7"/>
      <c r="D32" s="7"/>
      <c r="E32" s="7"/>
      <c r="G32" s="12"/>
    </row>
    <row r="33" spans="1:7" x14ac:dyDescent="0.2">
      <c r="A33" s="4"/>
      <c r="B33" s="7"/>
      <c r="C33" s="7"/>
      <c r="D33" s="7"/>
      <c r="E33" s="7"/>
      <c r="G33" s="4"/>
    </row>
    <row r="34" spans="1:7" x14ac:dyDescent="0.2">
      <c r="A34" s="4"/>
      <c r="B34" s="7"/>
      <c r="C34" s="7"/>
      <c r="D34" s="7"/>
      <c r="E34" s="7"/>
      <c r="G34" s="4"/>
    </row>
    <row r="35" spans="1:7" x14ac:dyDescent="0.2">
      <c r="A35" s="4"/>
      <c r="B35" s="7"/>
      <c r="C35" s="7"/>
      <c r="D35" s="7"/>
      <c r="E35" s="7"/>
      <c r="G35" s="12"/>
    </row>
    <row r="36" spans="1:7" x14ac:dyDescent="0.2">
      <c r="A36" s="4"/>
      <c r="B36" s="7"/>
      <c r="C36" s="7"/>
      <c r="D36" s="7"/>
      <c r="E36" s="7"/>
      <c r="G36" s="12"/>
    </row>
    <row r="37" spans="1:7" x14ac:dyDescent="0.2">
      <c r="A37" s="4"/>
      <c r="B37" s="7"/>
      <c r="C37" s="7"/>
      <c r="D37" s="7"/>
      <c r="E37" s="7"/>
      <c r="G37" s="4"/>
    </row>
    <row r="38" spans="1:7" x14ac:dyDescent="0.2">
      <c r="A38" s="4"/>
      <c r="B38" s="7"/>
      <c r="C38" s="7"/>
      <c r="D38" s="7"/>
      <c r="E38" s="7"/>
      <c r="G38" s="12"/>
    </row>
    <row r="39" spans="1:7" x14ac:dyDescent="0.2">
      <c r="A39" s="4"/>
      <c r="B39" s="7"/>
      <c r="C39" s="7"/>
      <c r="D39" s="7"/>
      <c r="E39" s="7"/>
      <c r="G39" s="4"/>
    </row>
    <row r="40" spans="1:7" x14ac:dyDescent="0.2">
      <c r="A40" s="4"/>
      <c r="B40" s="7"/>
      <c r="C40" s="7"/>
      <c r="D40" s="7"/>
      <c r="E40" s="7"/>
      <c r="G40" s="4"/>
    </row>
    <row r="41" spans="1:7" x14ac:dyDescent="0.2">
      <c r="A41" s="4"/>
      <c r="B41" s="7"/>
      <c r="C41" s="7"/>
      <c r="D41" s="7"/>
      <c r="E41" s="7"/>
      <c r="G41" s="4"/>
    </row>
    <row r="42" spans="1:7" x14ac:dyDescent="0.2">
      <c r="A42" s="12"/>
      <c r="B42" s="7"/>
      <c r="C42" s="7"/>
      <c r="D42" s="7"/>
      <c r="E42" s="7"/>
      <c r="G42" s="12"/>
    </row>
    <row r="43" spans="1:7" x14ac:dyDescent="0.2">
      <c r="A43" s="4"/>
      <c r="B43" s="7"/>
      <c r="C43" s="7"/>
      <c r="D43" s="7"/>
      <c r="E43" s="7"/>
      <c r="G43" s="12"/>
    </row>
    <row r="44" spans="1:7" x14ac:dyDescent="0.2">
      <c r="A44" s="4"/>
      <c r="B44" s="7"/>
      <c r="C44" s="7"/>
      <c r="D44" s="7"/>
      <c r="E44" s="7"/>
      <c r="G44" s="4"/>
    </row>
    <row r="45" spans="1:7" x14ac:dyDescent="0.2">
      <c r="A45" s="1"/>
      <c r="B45" s="7"/>
      <c r="C45" s="7"/>
      <c r="D45" s="7"/>
      <c r="E45" s="7"/>
      <c r="G45" s="4"/>
    </row>
    <row r="46" spans="1:7" x14ac:dyDescent="0.2">
      <c r="A46" s="1"/>
      <c r="B46" s="8"/>
      <c r="C46" s="8"/>
      <c r="D46" s="8"/>
      <c r="E46" s="8"/>
      <c r="G46" s="4"/>
    </row>
    <row r="47" spans="1:7" x14ac:dyDescent="0.2">
      <c r="A47" s="4"/>
      <c r="B47" s="4"/>
      <c r="C47" s="4"/>
      <c r="D47" s="4"/>
      <c r="E47" s="4"/>
      <c r="G47" s="4"/>
    </row>
    <row r="48" spans="1:7" x14ac:dyDescent="0.2">
      <c r="A48" s="1"/>
      <c r="B48" s="4"/>
      <c r="C48" s="4"/>
      <c r="D48" s="4"/>
      <c r="E48" s="4"/>
      <c r="G48" s="4"/>
    </row>
    <row r="49" spans="1:7" x14ac:dyDescent="0.2">
      <c r="A49" s="4"/>
      <c r="B49" s="7"/>
      <c r="C49" s="7"/>
      <c r="D49" s="7"/>
      <c r="E49" s="7"/>
      <c r="G49" s="12"/>
    </row>
    <row r="50" spans="1:7" x14ac:dyDescent="0.2">
      <c r="A50" s="4"/>
      <c r="B50" s="7"/>
      <c r="C50" s="7"/>
      <c r="D50" s="7"/>
      <c r="E50" s="7"/>
      <c r="G50" s="4"/>
    </row>
    <row r="51" spans="1:7" x14ac:dyDescent="0.2">
      <c r="A51" s="4"/>
      <c r="B51" s="7"/>
      <c r="C51" s="7"/>
      <c r="D51" s="7"/>
      <c r="E51" s="7"/>
      <c r="G51" s="4"/>
    </row>
    <row r="52" spans="1:7" x14ac:dyDescent="0.2">
      <c r="A52" s="4"/>
      <c r="B52" s="7"/>
      <c r="C52" s="7"/>
      <c r="D52" s="7"/>
      <c r="E52" s="7"/>
      <c r="G52" s="12"/>
    </row>
    <row r="53" spans="1:7" x14ac:dyDescent="0.2">
      <c r="A53" s="4"/>
      <c r="B53" s="7"/>
      <c r="C53" s="7"/>
      <c r="D53" s="7"/>
      <c r="E53" s="7"/>
      <c r="G53" s="12"/>
    </row>
    <row r="54" spans="1:7" x14ac:dyDescent="0.2">
      <c r="A54" s="4"/>
      <c r="B54" s="7"/>
      <c r="C54" s="7"/>
      <c r="D54" s="7"/>
      <c r="E54" s="7"/>
      <c r="G54" s="4"/>
    </row>
    <row r="55" spans="1:7" x14ac:dyDescent="0.2">
      <c r="A55" s="14"/>
      <c r="B55" s="7"/>
      <c r="C55" s="7"/>
      <c r="D55" s="7"/>
      <c r="E55" s="7"/>
      <c r="G55" s="14"/>
    </row>
    <row r="56" spans="1:7" x14ac:dyDescent="0.2">
      <c r="A56" s="14"/>
      <c r="B56" s="7"/>
      <c r="C56" s="7"/>
      <c r="D56" s="7"/>
      <c r="E56" s="7"/>
      <c r="G56" s="14"/>
    </row>
    <row r="57" spans="1:7" x14ac:dyDescent="0.2">
      <c r="A57" s="14"/>
      <c r="B57" s="7"/>
      <c r="C57" s="7"/>
      <c r="D57" s="7"/>
      <c r="E57" s="7"/>
      <c r="G57" s="14"/>
    </row>
    <row r="58" spans="1:7" x14ac:dyDescent="0.2">
      <c r="A58" s="4"/>
      <c r="B58" s="7"/>
      <c r="C58" s="7"/>
      <c r="D58" s="7"/>
      <c r="E58" s="7"/>
      <c r="G58" s="12"/>
    </row>
    <row r="59" spans="1:7" x14ac:dyDescent="0.2">
      <c r="A59" s="1"/>
      <c r="B59" s="7"/>
      <c r="C59" s="7"/>
      <c r="D59" s="7"/>
      <c r="E59" s="7"/>
      <c r="G59" s="4"/>
    </row>
    <row r="60" spans="1:7" x14ac:dyDescent="0.2">
      <c r="A60" s="1"/>
      <c r="B60" s="8"/>
      <c r="C60" s="8"/>
      <c r="D60" s="8"/>
      <c r="E60" s="8"/>
      <c r="G60" s="4"/>
    </row>
    <row r="61" spans="1:7" x14ac:dyDescent="0.2">
      <c r="A61" s="1"/>
      <c r="B61" s="8"/>
      <c r="C61" s="8"/>
      <c r="D61" s="8"/>
      <c r="E61" s="8"/>
      <c r="G61" s="4"/>
    </row>
    <row r="62" spans="1:7" x14ac:dyDescent="0.2">
      <c r="A62" s="9"/>
      <c r="B62" s="8"/>
      <c r="C62" s="16"/>
      <c r="D62" s="20"/>
      <c r="E62" s="18"/>
      <c r="G62" s="4"/>
    </row>
    <row r="63" spans="1:7" x14ac:dyDescent="0.2">
      <c r="A63" s="11"/>
      <c r="B63" s="4"/>
      <c r="C63" s="15"/>
      <c r="D63" s="19"/>
      <c r="E63" s="18"/>
    </row>
    <row r="64" spans="1:7" x14ac:dyDescent="0.2">
      <c r="A64" s="9"/>
      <c r="B64" s="4"/>
      <c r="C64" s="7"/>
      <c r="D64" s="7"/>
      <c r="E64" s="7"/>
      <c r="G64" s="4"/>
    </row>
    <row r="65" spans="1:7" x14ac:dyDescent="0.2">
      <c r="A65" s="9"/>
      <c r="B65" s="4"/>
      <c r="C65" s="7"/>
      <c r="D65" s="17"/>
      <c r="E65" s="18"/>
      <c r="G65" s="4"/>
    </row>
  </sheetData>
  <phoneticPr fontId="5" type="noConversion"/>
  <pageMargins left="0.39305555555555555" right="0.39305555555555555" top="0.78680555555555554" bottom="0.78680555555555554" header="0.5" footer="0.75"/>
  <pageSetup orientation="portrait" r:id="rId1"/>
  <headerFooter alignWithMargins="0"/>
  <rowBreaks count="1" manualBreakCount="1">
    <brk id="6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43"/>
  <sheetViews>
    <sheetView tabSelected="1" zoomScaleNormal="100" workbookViewId="0">
      <selection activeCell="AE14" sqref="AE14"/>
    </sheetView>
  </sheetViews>
  <sheetFormatPr defaultRowHeight="12.75" x14ac:dyDescent="0.2"/>
  <cols>
    <col min="1" max="1" width="27.42578125" customWidth="1"/>
    <col min="2" max="3" width="11.7109375" customWidth="1"/>
    <col min="4" max="5" width="11.7109375" hidden="1" customWidth="1"/>
    <col min="6" max="7" width="11.7109375" customWidth="1"/>
    <col min="8" max="20" width="11.7109375" hidden="1" customWidth="1"/>
    <col min="21" max="23" width="11.7109375" customWidth="1"/>
    <col min="24" max="24" width="1.7109375" customWidth="1"/>
    <col min="25" max="25" width="41.5703125" customWidth="1"/>
    <col min="26" max="26" width="11.7109375" customWidth="1"/>
    <col min="27" max="27" width="10.140625" customWidth="1"/>
    <col min="28" max="28" width="10.28515625" customWidth="1"/>
    <col min="29" max="29" width="10.140625" customWidth="1"/>
    <col min="30" max="30" width="6.28515625" customWidth="1"/>
    <col min="31" max="34" width="9.140625" customWidth="1"/>
    <col min="35" max="36" width="9.140625" hidden="1" customWidth="1"/>
    <col min="37" max="37" width="9.140625" customWidth="1"/>
  </cols>
  <sheetData>
    <row r="1" spans="1:39" ht="18" x14ac:dyDescent="0.25">
      <c r="A1" s="10" t="s">
        <v>159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2"/>
      <c r="V1" s="4"/>
    </row>
    <row r="2" spans="1:39" x14ac:dyDescent="0.2">
      <c r="A2" s="1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V2" s="4"/>
    </row>
    <row r="3" spans="1:39" x14ac:dyDescent="0.2">
      <c r="A3" s="3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V3" s="4"/>
      <c r="AF3" s="66">
        <v>2023</v>
      </c>
      <c r="AG3" s="66"/>
      <c r="AH3" s="66">
        <v>2023</v>
      </c>
    </row>
    <row r="4" spans="1:39" x14ac:dyDescent="0.2">
      <c r="A4" s="4"/>
      <c r="B4" s="6">
        <v>2022</v>
      </c>
      <c r="C4" s="46">
        <v>2023</v>
      </c>
      <c r="D4" s="6">
        <v>2023</v>
      </c>
      <c r="E4" s="6"/>
      <c r="F4" s="6">
        <v>2023</v>
      </c>
      <c r="G4" s="46">
        <v>2023</v>
      </c>
      <c r="H4" s="46">
        <v>2023</v>
      </c>
      <c r="I4" s="6">
        <v>2023</v>
      </c>
      <c r="J4" s="6">
        <v>2023</v>
      </c>
      <c r="K4" s="6">
        <v>2023</v>
      </c>
      <c r="L4" s="6">
        <v>2023</v>
      </c>
      <c r="M4" s="6">
        <v>2023</v>
      </c>
      <c r="N4" s="6">
        <v>2023</v>
      </c>
      <c r="O4" s="6">
        <v>2023</v>
      </c>
      <c r="P4" s="6">
        <v>2023</v>
      </c>
      <c r="Q4" s="6">
        <v>2023</v>
      </c>
      <c r="R4" s="6">
        <v>2023</v>
      </c>
      <c r="S4" s="6">
        <v>2023</v>
      </c>
      <c r="T4" s="6">
        <v>2023</v>
      </c>
      <c r="U4" s="81">
        <v>2023</v>
      </c>
      <c r="V4" s="69" t="s">
        <v>314</v>
      </c>
      <c r="W4" s="46">
        <v>2023</v>
      </c>
      <c r="X4" s="6"/>
      <c r="Y4" s="4"/>
      <c r="Z4" s="41" t="s">
        <v>73</v>
      </c>
      <c r="AA4" s="42" t="s">
        <v>73</v>
      </c>
      <c r="AB4" s="44" t="s">
        <v>73</v>
      </c>
      <c r="AC4" s="42" t="s">
        <v>73</v>
      </c>
      <c r="AD4" s="42"/>
      <c r="AE4" s="42" t="s">
        <v>293</v>
      </c>
      <c r="AF4" s="42" t="s">
        <v>297</v>
      </c>
      <c r="AG4" s="42" t="s">
        <v>297</v>
      </c>
      <c r="AH4" s="42" t="s">
        <v>25</v>
      </c>
      <c r="AI4" s="42" t="s">
        <v>304</v>
      </c>
      <c r="AJ4" s="42" t="s">
        <v>25</v>
      </c>
      <c r="AK4" s="42" t="s">
        <v>308</v>
      </c>
      <c r="AL4" s="42" t="s">
        <v>312</v>
      </c>
      <c r="AM4" s="42"/>
    </row>
    <row r="5" spans="1:39" x14ac:dyDescent="0.2">
      <c r="A5" s="4"/>
      <c r="B5" s="28" t="s">
        <v>30</v>
      </c>
      <c r="C5" s="51" t="s">
        <v>110</v>
      </c>
      <c r="D5" s="28" t="s">
        <v>145</v>
      </c>
      <c r="E5" s="28"/>
      <c r="F5" s="28" t="s">
        <v>27</v>
      </c>
      <c r="G5" s="56" t="s">
        <v>24</v>
      </c>
      <c r="H5" s="51" t="s">
        <v>54</v>
      </c>
      <c r="I5" s="28" t="s">
        <v>60</v>
      </c>
      <c r="J5" s="28" t="s">
        <v>29</v>
      </c>
      <c r="K5" s="28" t="s">
        <v>160</v>
      </c>
      <c r="L5" s="28" t="s">
        <v>288</v>
      </c>
      <c r="M5" s="28" t="s">
        <v>56</v>
      </c>
      <c r="N5" s="28" t="s">
        <v>56</v>
      </c>
      <c r="O5" s="28" t="s">
        <v>239</v>
      </c>
      <c r="P5" s="28" t="s">
        <v>249</v>
      </c>
      <c r="Q5" s="28" t="s">
        <v>250</v>
      </c>
      <c r="R5" s="28" t="s">
        <v>162</v>
      </c>
      <c r="S5" s="28" t="s">
        <v>120</v>
      </c>
      <c r="T5" s="28" t="s">
        <v>30</v>
      </c>
      <c r="U5" s="82" t="s">
        <v>30</v>
      </c>
      <c r="V5" s="69" t="s">
        <v>30</v>
      </c>
      <c r="W5" s="63" t="s">
        <v>157</v>
      </c>
      <c r="X5" s="6"/>
      <c r="Y5" s="4"/>
      <c r="Z5" s="41" t="s">
        <v>74</v>
      </c>
      <c r="AA5" s="42" t="s">
        <v>76</v>
      </c>
      <c r="AB5" s="44" t="s">
        <v>78</v>
      </c>
      <c r="AC5" s="42">
        <v>2023</v>
      </c>
      <c r="AD5" s="42"/>
      <c r="AE5" s="42" t="s">
        <v>294</v>
      </c>
      <c r="AF5" s="42" t="s">
        <v>295</v>
      </c>
      <c r="AG5" s="42" t="s">
        <v>295</v>
      </c>
      <c r="AH5" s="42" t="s">
        <v>306</v>
      </c>
      <c r="AI5" s="42" t="s">
        <v>74</v>
      </c>
      <c r="AJ5" s="42" t="s">
        <v>74</v>
      </c>
      <c r="AK5" s="42" t="s">
        <v>25</v>
      </c>
      <c r="AL5" s="42" t="s">
        <v>25</v>
      </c>
    </row>
    <row r="6" spans="1:39" x14ac:dyDescent="0.2">
      <c r="A6" s="9" t="s">
        <v>19</v>
      </c>
      <c r="B6" s="6" t="s">
        <v>25</v>
      </c>
      <c r="C6" s="46"/>
      <c r="D6" s="6" t="s">
        <v>88</v>
      </c>
      <c r="E6" s="6"/>
      <c r="F6" s="6" t="s">
        <v>28</v>
      </c>
      <c r="G6" s="57" t="s">
        <v>25</v>
      </c>
      <c r="H6" s="46" t="s">
        <v>55</v>
      </c>
      <c r="I6" s="6" t="s">
        <v>59</v>
      </c>
      <c r="J6" s="6"/>
      <c r="K6" s="6" t="s">
        <v>161</v>
      </c>
      <c r="L6" s="6" t="s">
        <v>29</v>
      </c>
      <c r="M6" s="6" t="s">
        <v>61</v>
      </c>
      <c r="N6" s="6" t="s">
        <v>69</v>
      </c>
      <c r="O6" s="6" t="s">
        <v>240</v>
      </c>
      <c r="P6" s="6" t="s">
        <v>144</v>
      </c>
      <c r="Q6" s="6" t="s">
        <v>144</v>
      </c>
      <c r="R6" s="6" t="s">
        <v>29</v>
      </c>
      <c r="S6" s="6" t="s">
        <v>121</v>
      </c>
      <c r="T6" s="6" t="s">
        <v>64</v>
      </c>
      <c r="U6" s="81" t="s">
        <v>32</v>
      </c>
      <c r="V6" s="68" t="s">
        <v>25</v>
      </c>
      <c r="W6" s="46" t="s">
        <v>66</v>
      </c>
      <c r="X6" s="6"/>
      <c r="Y6" s="1" t="s">
        <v>313</v>
      </c>
      <c r="Z6" s="41" t="s">
        <v>72</v>
      </c>
      <c r="AA6" s="42" t="s">
        <v>77</v>
      </c>
      <c r="AB6" s="44" t="s">
        <v>77</v>
      </c>
      <c r="AC6" s="66"/>
      <c r="AD6" s="66"/>
      <c r="AE6" s="132">
        <v>40</v>
      </c>
      <c r="AF6" s="132" t="s">
        <v>298</v>
      </c>
      <c r="AG6" s="132" t="s">
        <v>305</v>
      </c>
      <c r="AH6" s="132" t="s">
        <v>295</v>
      </c>
      <c r="AI6" s="132" t="s">
        <v>72</v>
      </c>
      <c r="AJ6" s="132" t="s">
        <v>72</v>
      </c>
      <c r="AL6" s="132"/>
    </row>
    <row r="7" spans="1:39" x14ac:dyDescent="0.2">
      <c r="A7" s="4"/>
      <c r="B7" s="7"/>
      <c r="C7" s="45"/>
      <c r="D7" s="4"/>
      <c r="E7" s="4"/>
      <c r="F7" s="4"/>
      <c r="G7" s="58"/>
      <c r="H7" s="4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9"/>
      <c r="V7" s="70"/>
      <c r="W7" s="47"/>
      <c r="X7" s="4"/>
      <c r="Y7" s="4"/>
    </row>
    <row r="8" spans="1:39" x14ac:dyDescent="0.2">
      <c r="A8" s="1" t="s">
        <v>20</v>
      </c>
      <c r="B8" s="7"/>
      <c r="C8" s="47"/>
      <c r="D8" s="7"/>
      <c r="E8" s="7"/>
      <c r="F8" s="4"/>
      <c r="G8" s="58"/>
      <c r="H8" s="4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9"/>
      <c r="V8" s="70"/>
      <c r="W8" s="47"/>
      <c r="X8" s="4"/>
      <c r="Y8" s="4"/>
    </row>
    <row r="9" spans="1:39" x14ac:dyDescent="0.2">
      <c r="A9" s="4" t="s">
        <v>29</v>
      </c>
      <c r="B9" s="7">
        <v>93021</v>
      </c>
      <c r="C9" s="45"/>
      <c r="D9" s="4"/>
      <c r="E9" s="4"/>
      <c r="F9" s="4"/>
      <c r="G9" s="59"/>
      <c r="H9" s="47"/>
      <c r="I9" s="7"/>
      <c r="J9" s="7">
        <f>AC9-H9-I9-M9-N9-O9-P9-Q9-R9-S9</f>
        <v>77509.74824999999</v>
      </c>
      <c r="K9" s="7"/>
      <c r="L9" s="7"/>
      <c r="M9" s="7">
        <f>(AA9)*0.0125</f>
        <v>1174.3901250000001</v>
      </c>
      <c r="N9" s="7">
        <f>(AA9)*0.05</f>
        <v>4697.5605000000005</v>
      </c>
      <c r="O9" s="7">
        <f>AC9*0.05*0.5</f>
        <v>2348.7802500000003</v>
      </c>
      <c r="P9" s="7">
        <f>0.05*AC9</f>
        <v>4697.5605000000005</v>
      </c>
      <c r="Q9" s="7">
        <f>AC9*0.05*0.75</f>
        <v>3523.1703750000006</v>
      </c>
      <c r="R9" s="7"/>
      <c r="S9" s="22"/>
      <c r="T9" s="7"/>
      <c r="U9" s="59">
        <f>H9+I9+J9+K9+L9+M9+N9+O9+P9+Q9+R9+S9+T9</f>
        <v>93951.21</v>
      </c>
      <c r="V9" s="70">
        <f t="shared" ref="V9:V20" si="0">G9+U9</f>
        <v>93951.21</v>
      </c>
      <c r="W9" s="47">
        <f t="shared" ref="W9:W20" si="1">V9-B9</f>
        <v>930.2100000000064</v>
      </c>
      <c r="X9" s="7"/>
      <c r="Y9" s="4" t="s">
        <v>150</v>
      </c>
      <c r="Z9" s="29">
        <f>AA9/AB9-1</f>
        <v>1.0000000000000009E-2</v>
      </c>
      <c r="AA9" s="15">
        <f>AB9*1.01</f>
        <v>93951.21</v>
      </c>
      <c r="AB9" s="15">
        <v>93021</v>
      </c>
      <c r="AC9" s="15">
        <f>AA9</f>
        <v>93951.21</v>
      </c>
      <c r="AD9" s="15"/>
      <c r="AE9">
        <v>200</v>
      </c>
      <c r="AF9" s="15"/>
      <c r="AG9" s="129"/>
      <c r="AH9" s="15">
        <f t="shared" ref="AH9:AH20" si="2">AE9+AF9</f>
        <v>200</v>
      </c>
      <c r="AI9" s="85">
        <f>AL9/AB9</f>
        <v>5.1601251330344764E-3</v>
      </c>
      <c r="AJ9" s="85">
        <f>Z9+AI9</f>
        <v>1.5160125133034486E-2</v>
      </c>
      <c r="AK9">
        <f>AH9/5</f>
        <v>40</v>
      </c>
      <c r="AL9">
        <f>AK9*12</f>
        <v>480</v>
      </c>
    </row>
    <row r="10" spans="1:39" x14ac:dyDescent="0.2">
      <c r="A10" s="4" t="s">
        <v>246</v>
      </c>
      <c r="B10" s="7"/>
      <c r="C10" s="45"/>
      <c r="D10" s="4"/>
      <c r="E10" s="4"/>
      <c r="F10" s="4"/>
      <c r="G10" s="59"/>
      <c r="H10" s="47"/>
      <c r="I10" s="7"/>
      <c r="J10" s="7"/>
      <c r="K10" s="7"/>
      <c r="L10" s="7">
        <f>AC10-O10-S10</f>
        <v>9589.6666666666661</v>
      </c>
      <c r="M10" s="7"/>
      <c r="N10" s="7"/>
      <c r="O10" s="7">
        <f>AC10*0.1</f>
        <v>1475.3333333333335</v>
      </c>
      <c r="P10" s="7"/>
      <c r="Q10" s="7"/>
      <c r="R10" s="7"/>
      <c r="S10" s="22">
        <f>AC10*0.25</f>
        <v>3688.3333333333335</v>
      </c>
      <c r="T10" s="7"/>
      <c r="U10" s="59">
        <f t="shared" ref="U10:U54" si="3">H10+I10+J10+K10+L10+M10+N10+O10+P10+Q10+R10+S10+T10</f>
        <v>14753.333333333334</v>
      </c>
      <c r="V10" s="70">
        <f t="shared" si="0"/>
        <v>14753.333333333334</v>
      </c>
      <c r="W10" s="47">
        <f t="shared" si="1"/>
        <v>14753.333333333334</v>
      </c>
      <c r="X10" s="7"/>
      <c r="Y10" s="4" t="s">
        <v>248</v>
      </c>
      <c r="Z10" s="29"/>
      <c r="AA10" s="15"/>
      <c r="AB10" s="15">
        <v>44260</v>
      </c>
      <c r="AC10" s="15">
        <f>AB10/12*4</f>
        <v>14753.333333333334</v>
      </c>
      <c r="AD10" s="15"/>
      <c r="AE10">
        <v>200</v>
      </c>
      <c r="AF10">
        <f t="shared" ref="AF10:AF38" si="4">AG10*5</f>
        <v>450</v>
      </c>
      <c r="AG10" s="129">
        <v>90</v>
      </c>
      <c r="AH10" s="15">
        <f t="shared" si="2"/>
        <v>650</v>
      </c>
      <c r="AI10" s="85">
        <f>AL10/AB10</f>
        <v>3.5246272028920021E-2</v>
      </c>
      <c r="AJ10" s="85"/>
      <c r="AK10">
        <f>AH10/5</f>
        <v>130</v>
      </c>
      <c r="AL10">
        <f>AK10*12</f>
        <v>1560</v>
      </c>
    </row>
    <row r="11" spans="1:39" x14ac:dyDescent="0.2">
      <c r="A11" s="4" t="s">
        <v>114</v>
      </c>
      <c r="B11" s="7">
        <v>68889.789999999994</v>
      </c>
      <c r="C11" s="45"/>
      <c r="D11" s="4"/>
      <c r="E11" s="4"/>
      <c r="F11" s="4"/>
      <c r="G11" s="58"/>
      <c r="H11" s="52"/>
      <c r="I11" s="22">
        <f>((AB11/24)*17)+(AA11/24*7)-H11-J11-K11-M11-N11-O11-P11-Q11-R11-S11-T11</f>
        <v>49296.612500000003</v>
      </c>
      <c r="J11" s="22"/>
      <c r="K11" s="22"/>
      <c r="L11" s="22"/>
      <c r="M11" s="22">
        <f>((AB11/24)*17+(AA11/24*7))*0.0125</f>
        <v>904.52500000000009</v>
      </c>
      <c r="N11" s="22">
        <f>((AB11/24)*17+(AA11/24*7))*0.05</f>
        <v>3618.1000000000004</v>
      </c>
      <c r="O11" s="22">
        <f>AC11*0.1*0.5</f>
        <v>3618.1000000000004</v>
      </c>
      <c r="P11" s="22">
        <f>AC11*0.15</f>
        <v>10854.3</v>
      </c>
      <c r="Q11" s="22">
        <f>AC11*0.075*0.75</f>
        <v>4070.3624999999997</v>
      </c>
      <c r="R11" s="22"/>
      <c r="S11" s="22"/>
      <c r="T11" s="7"/>
      <c r="U11" s="59">
        <f t="shared" si="3"/>
        <v>72362</v>
      </c>
      <c r="V11" s="70">
        <f t="shared" si="0"/>
        <v>72362</v>
      </c>
      <c r="W11" s="47">
        <f t="shared" si="1"/>
        <v>3472.2100000000064</v>
      </c>
      <c r="X11" s="7"/>
      <c r="Y11" s="4" t="s">
        <v>151</v>
      </c>
      <c r="Z11" s="78">
        <f>AA11/AB11-1</f>
        <v>1.9009768909022728E-2</v>
      </c>
      <c r="AA11" s="15">
        <v>73331</v>
      </c>
      <c r="AB11" s="15">
        <v>71963</v>
      </c>
      <c r="AC11" s="15">
        <f>(AB11/24*17)+AA11/24*7</f>
        <v>72362</v>
      </c>
      <c r="AD11" s="15"/>
      <c r="AE11">
        <v>200</v>
      </c>
      <c r="AF11">
        <f t="shared" si="4"/>
        <v>300</v>
      </c>
      <c r="AG11" s="129">
        <v>60</v>
      </c>
      <c r="AH11" s="15">
        <f t="shared" si="2"/>
        <v>500</v>
      </c>
      <c r="AI11" s="85">
        <f>AL11/AB11</f>
        <v>1.6675235885107626E-2</v>
      </c>
      <c r="AJ11" s="85">
        <f>Z11+AI11</f>
        <v>3.5685004794130351E-2</v>
      </c>
      <c r="AK11">
        <f>AH11/5</f>
        <v>100</v>
      </c>
      <c r="AL11">
        <f>AK11*12</f>
        <v>1200</v>
      </c>
    </row>
    <row r="12" spans="1:39" x14ac:dyDescent="0.2">
      <c r="A12" t="s">
        <v>209</v>
      </c>
      <c r="B12" s="7">
        <v>26580.69</v>
      </c>
      <c r="C12" s="45"/>
      <c r="D12" s="4"/>
      <c r="E12" s="4"/>
      <c r="F12" s="4"/>
      <c r="G12" s="58"/>
      <c r="H12" s="47">
        <f>2400.01+(AB12/24*2)*0.3</f>
        <v>3846.8850000000002</v>
      </c>
      <c r="I12" s="7"/>
      <c r="J12" s="7"/>
      <c r="K12" s="7"/>
      <c r="L12" s="7"/>
      <c r="M12" s="4"/>
      <c r="N12" s="4"/>
      <c r="O12" s="4"/>
      <c r="P12" s="22">
        <f>AC12*0.7/12</f>
        <v>3387.4968749999994</v>
      </c>
      <c r="Q12" s="22"/>
      <c r="R12" s="4"/>
      <c r="S12" s="4"/>
      <c r="T12" s="7"/>
      <c r="U12" s="59">
        <f t="shared" si="3"/>
        <v>7234.3818749999991</v>
      </c>
      <c r="V12" s="70">
        <f t="shared" si="0"/>
        <v>7234.3818749999991</v>
      </c>
      <c r="W12" s="47">
        <f t="shared" si="1"/>
        <v>-19346.308125</v>
      </c>
      <c r="X12" s="7"/>
      <c r="Y12" s="4" t="s">
        <v>247</v>
      </c>
      <c r="Z12" s="78">
        <f>AA12/AB12-1</f>
        <v>2.7144708423326058E-2</v>
      </c>
      <c r="AA12" s="15">
        <v>59446</v>
      </c>
      <c r="AB12" s="15">
        <v>57875</v>
      </c>
      <c r="AC12" s="79">
        <f>AB12/24*21+AA12/24*3</f>
        <v>58071.375</v>
      </c>
      <c r="AD12" s="79"/>
      <c r="AE12">
        <v>200</v>
      </c>
      <c r="AF12">
        <f t="shared" si="4"/>
        <v>450</v>
      </c>
      <c r="AG12" s="129">
        <v>90</v>
      </c>
      <c r="AH12" s="15">
        <f t="shared" si="2"/>
        <v>650</v>
      </c>
      <c r="AI12" s="85">
        <f>AL12/AB12</f>
        <v>2.695464362850972E-2</v>
      </c>
      <c r="AJ12" s="85">
        <f>Z12+AI12</f>
        <v>5.4099352051835775E-2</v>
      </c>
      <c r="AK12">
        <f>AH12/5</f>
        <v>130</v>
      </c>
      <c r="AL12">
        <f>AK12*12</f>
        <v>1560</v>
      </c>
    </row>
    <row r="13" spans="1:39" x14ac:dyDescent="0.2">
      <c r="A13" s="12" t="s">
        <v>123</v>
      </c>
      <c r="B13" s="7">
        <v>46280</v>
      </c>
      <c r="C13" s="47"/>
      <c r="D13" s="7"/>
      <c r="E13" s="7"/>
      <c r="F13" s="7"/>
      <c r="G13" s="59"/>
      <c r="H13" s="4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>AB13/24*16+AA13/24*8</f>
        <v>51037.333333333328</v>
      </c>
      <c r="T13" s="7"/>
      <c r="U13" s="59">
        <f t="shared" si="3"/>
        <v>51037.333333333328</v>
      </c>
      <c r="V13" s="70">
        <f t="shared" si="0"/>
        <v>51037.333333333328</v>
      </c>
      <c r="W13" s="47">
        <f t="shared" si="1"/>
        <v>4757.3333333333285</v>
      </c>
      <c r="X13" s="7"/>
      <c r="Y13" s="4" t="s">
        <v>237</v>
      </c>
      <c r="Z13" s="78">
        <f>AA13/AB13-1</f>
        <v>5.3324293064252348E-2</v>
      </c>
      <c r="AA13" s="15">
        <f>51620+1200</f>
        <v>52820</v>
      </c>
      <c r="AB13" s="15">
        <v>50146</v>
      </c>
      <c r="AC13" s="15">
        <f>AB13/24*16+AA13/24*8</f>
        <v>51037.333333333328</v>
      </c>
      <c r="AD13" s="15"/>
      <c r="AE13">
        <v>200</v>
      </c>
      <c r="AF13">
        <f t="shared" si="4"/>
        <v>450</v>
      </c>
      <c r="AG13" s="129">
        <v>90</v>
      </c>
      <c r="AH13" s="15">
        <f t="shared" si="2"/>
        <v>650</v>
      </c>
      <c r="AI13" s="85">
        <f>AL13/AB13</f>
        <v>3.1109161249152476E-2</v>
      </c>
      <c r="AJ13" s="85">
        <f>Z13+AI13</f>
        <v>8.4433454313404821E-2</v>
      </c>
      <c r="AK13">
        <f>AH13/5</f>
        <v>130</v>
      </c>
      <c r="AL13">
        <f>AK13*12</f>
        <v>1560</v>
      </c>
    </row>
    <row r="14" spans="1:39" x14ac:dyDescent="0.2">
      <c r="A14" s="12" t="s">
        <v>235</v>
      </c>
      <c r="B14" s="7"/>
      <c r="C14" s="47"/>
      <c r="D14" s="7"/>
      <c r="E14" s="7"/>
      <c r="F14" s="7"/>
      <c r="G14" s="59"/>
      <c r="H14" s="4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>AC14</f>
        <v>18441.666666666668</v>
      </c>
      <c r="T14" s="7"/>
      <c r="U14" s="59">
        <f t="shared" si="3"/>
        <v>18441.666666666668</v>
      </c>
      <c r="V14" s="70">
        <f t="shared" si="0"/>
        <v>18441.666666666668</v>
      </c>
      <c r="W14" s="47">
        <f t="shared" si="1"/>
        <v>18441.666666666668</v>
      </c>
      <c r="X14" s="7"/>
      <c r="Y14" s="4" t="s">
        <v>255</v>
      </c>
      <c r="Z14" s="78"/>
      <c r="AA14" s="15"/>
      <c r="AB14" s="15">
        <v>44260</v>
      </c>
      <c r="AC14" s="15">
        <f>AB14/12*5</f>
        <v>18441.666666666668</v>
      </c>
      <c r="AD14" s="15"/>
      <c r="AE14">
        <v>200</v>
      </c>
      <c r="AF14">
        <f t="shared" si="4"/>
        <v>450</v>
      </c>
      <c r="AG14" s="129">
        <v>90</v>
      </c>
      <c r="AH14" s="15">
        <f t="shared" si="2"/>
        <v>650</v>
      </c>
      <c r="AI14" s="85">
        <f>AL14/AB14</f>
        <v>3.5246272028920021E-2</v>
      </c>
      <c r="AJ14" s="85"/>
      <c r="AK14">
        <f>AH14/5</f>
        <v>130</v>
      </c>
      <c r="AL14">
        <f>AK14*12</f>
        <v>1560</v>
      </c>
    </row>
    <row r="15" spans="1:39" x14ac:dyDescent="0.2">
      <c r="A15" s="4" t="s">
        <v>62</v>
      </c>
      <c r="B15" s="7">
        <v>46215</v>
      </c>
      <c r="C15" s="64"/>
      <c r="D15" s="38"/>
      <c r="E15" s="38"/>
      <c r="F15" s="7"/>
      <c r="G15" s="59"/>
      <c r="H15" s="47"/>
      <c r="I15" s="7"/>
      <c r="J15" s="7"/>
      <c r="K15" s="7"/>
      <c r="L15" s="7"/>
      <c r="M15" s="7">
        <f>AC15</f>
        <v>48796</v>
      </c>
      <c r="N15" s="7"/>
      <c r="O15" s="7"/>
      <c r="P15" s="7"/>
      <c r="Q15" s="7"/>
      <c r="R15" s="7"/>
      <c r="S15" s="7"/>
      <c r="T15" s="7"/>
      <c r="U15" s="59">
        <f t="shared" si="3"/>
        <v>48796</v>
      </c>
      <c r="V15" s="70">
        <f t="shared" si="0"/>
        <v>48796</v>
      </c>
      <c r="W15" s="47">
        <f t="shared" si="1"/>
        <v>2581</v>
      </c>
      <c r="X15" s="7"/>
      <c r="Y15" s="4" t="s">
        <v>151</v>
      </c>
      <c r="Z15" s="78">
        <f>AA15/AB15-1</f>
        <v>3.6120732310737313E-2</v>
      </c>
      <c r="AA15" s="15">
        <v>50256</v>
      </c>
      <c r="AB15" s="15">
        <v>48504</v>
      </c>
      <c r="AC15" s="79">
        <f>(AA15/12*2)+(AB15/12*10)</f>
        <v>48796</v>
      </c>
      <c r="AD15" s="79"/>
      <c r="AE15">
        <v>200</v>
      </c>
      <c r="AF15">
        <f t="shared" si="4"/>
        <v>450</v>
      </c>
      <c r="AG15" s="129">
        <v>90</v>
      </c>
      <c r="AH15" s="15">
        <f t="shared" si="2"/>
        <v>650</v>
      </c>
      <c r="AI15" s="85">
        <f>AL15/AB15</f>
        <v>3.2162295893122216E-2</v>
      </c>
      <c r="AJ15" s="85">
        <f>Z15+AI15</f>
        <v>6.8283028203859536E-2</v>
      </c>
      <c r="AK15">
        <f>AH15/5</f>
        <v>130</v>
      </c>
      <c r="AL15">
        <f>AK15*12</f>
        <v>1560</v>
      </c>
    </row>
    <row r="16" spans="1:39" x14ac:dyDescent="0.2">
      <c r="A16" s="4" t="s">
        <v>238</v>
      </c>
      <c r="B16" s="7"/>
      <c r="C16" s="64"/>
      <c r="D16" s="38"/>
      <c r="E16" s="38"/>
      <c r="F16" s="7"/>
      <c r="G16" s="59"/>
      <c r="H16" s="47"/>
      <c r="I16" s="7"/>
      <c r="J16" s="7"/>
      <c r="K16" s="7"/>
      <c r="L16" s="7"/>
      <c r="M16" s="7"/>
      <c r="N16" s="7"/>
      <c r="O16" s="7">
        <f>AC16</f>
        <v>22150</v>
      </c>
      <c r="P16" s="7"/>
      <c r="Q16" s="7"/>
      <c r="R16" s="7"/>
      <c r="S16" s="7"/>
      <c r="T16" s="7"/>
      <c r="U16" s="59">
        <f t="shared" si="3"/>
        <v>22150</v>
      </c>
      <c r="V16" s="70">
        <f t="shared" si="0"/>
        <v>22150</v>
      </c>
      <c r="W16" s="47">
        <f t="shared" si="1"/>
        <v>22150</v>
      </c>
      <c r="X16" s="7"/>
      <c r="Y16" s="4" t="s">
        <v>256</v>
      </c>
      <c r="Z16" s="78"/>
      <c r="AA16" s="15"/>
      <c r="AB16" s="15">
        <v>53160</v>
      </c>
      <c r="AC16" s="79">
        <f>AB16/12*5</f>
        <v>22150</v>
      </c>
      <c r="AD16" s="79"/>
      <c r="AE16">
        <v>200</v>
      </c>
      <c r="AF16">
        <f t="shared" si="4"/>
        <v>450</v>
      </c>
      <c r="AG16" s="129">
        <v>90</v>
      </c>
      <c r="AH16" s="15">
        <f t="shared" si="2"/>
        <v>650</v>
      </c>
      <c r="AI16" s="85">
        <f>AL16/AB16</f>
        <v>2.9345372460496615E-2</v>
      </c>
      <c r="AJ16" s="85"/>
      <c r="AK16">
        <f>AH16/5</f>
        <v>130</v>
      </c>
      <c r="AL16">
        <f>AK16*12</f>
        <v>1560</v>
      </c>
    </row>
    <row r="17" spans="1:38" x14ac:dyDescent="0.2">
      <c r="A17" s="4" t="s">
        <v>241</v>
      </c>
      <c r="B17" s="7"/>
      <c r="C17" s="64"/>
      <c r="D17" s="38"/>
      <c r="E17" s="38"/>
      <c r="F17" s="7"/>
      <c r="G17" s="59"/>
      <c r="H17" s="47"/>
      <c r="I17" s="7"/>
      <c r="J17" s="7"/>
      <c r="K17" s="7"/>
      <c r="L17" s="7"/>
      <c r="M17" s="7"/>
      <c r="N17" s="7"/>
      <c r="O17" s="7">
        <f>AC17</f>
        <v>17753.333333333332</v>
      </c>
      <c r="P17" s="7"/>
      <c r="Q17" s="7"/>
      <c r="R17" s="7"/>
      <c r="S17" s="7"/>
      <c r="T17" s="7"/>
      <c r="U17" s="59">
        <f t="shared" si="3"/>
        <v>17753.333333333332</v>
      </c>
      <c r="V17" s="70">
        <f t="shared" si="0"/>
        <v>17753.333333333332</v>
      </c>
      <c r="W17" s="47">
        <f t="shared" si="1"/>
        <v>17753.333333333332</v>
      </c>
      <c r="X17" s="7"/>
      <c r="Y17" s="4" t="s">
        <v>254</v>
      </c>
      <c r="Z17" s="78"/>
      <c r="AA17" s="15"/>
      <c r="AB17" s="15">
        <v>42608</v>
      </c>
      <c r="AC17" s="79">
        <f>AB17/12*5</f>
        <v>17753.333333333332</v>
      </c>
      <c r="AD17" s="79"/>
      <c r="AE17">
        <v>200</v>
      </c>
      <c r="AF17">
        <f t="shared" si="4"/>
        <v>450</v>
      </c>
      <c r="AG17" s="129">
        <v>90</v>
      </c>
      <c r="AH17" s="15">
        <f t="shared" si="2"/>
        <v>650</v>
      </c>
      <c r="AI17" s="85">
        <f>AL17/AB17</f>
        <v>3.661284265865565E-2</v>
      </c>
      <c r="AJ17" s="85"/>
      <c r="AK17">
        <f>AH17/5</f>
        <v>130</v>
      </c>
      <c r="AL17">
        <f>AK17*12</f>
        <v>1560</v>
      </c>
    </row>
    <row r="18" spans="1:38" x14ac:dyDescent="0.2">
      <c r="A18" s="4" t="s">
        <v>87</v>
      </c>
      <c r="B18" s="7">
        <v>36751.370000000003</v>
      </c>
      <c r="C18" s="65"/>
      <c r="F18" s="7"/>
      <c r="G18" s="59"/>
      <c r="H18" s="47">
        <f>AC18*0.05</f>
        <v>2023.0366666666669</v>
      </c>
      <c r="I18" s="7"/>
      <c r="J18" s="7"/>
      <c r="K18" s="7"/>
      <c r="L18" s="7"/>
      <c r="M18" s="7"/>
      <c r="N18" s="7">
        <f>AC18-S18-H18</f>
        <v>33042.932222222225</v>
      </c>
      <c r="O18" s="7"/>
      <c r="P18" s="7"/>
      <c r="Q18" s="7"/>
      <c r="R18" s="7"/>
      <c r="S18" s="7">
        <f>AC18*8*0.2/12</f>
        <v>5394.764444444445</v>
      </c>
      <c r="T18" s="7"/>
      <c r="U18" s="59">
        <f t="shared" si="3"/>
        <v>40460.733333333337</v>
      </c>
      <c r="V18" s="70">
        <f t="shared" si="0"/>
        <v>40460.733333333337</v>
      </c>
      <c r="W18" s="47">
        <f t="shared" si="1"/>
        <v>3709.3633333333346</v>
      </c>
      <c r="X18" s="7"/>
      <c r="Y18" s="4" t="s">
        <v>155</v>
      </c>
      <c r="Z18" s="78">
        <f>AA18/AB18-1</f>
        <v>2.9394169026442762E-2</v>
      </c>
      <c r="AA18" s="15">
        <v>51620</v>
      </c>
      <c r="AB18" s="15">
        <v>50146</v>
      </c>
      <c r="AC18" s="79">
        <f>(AB18/24*17+AA18/24*7)*0.8</f>
        <v>40460.733333333337</v>
      </c>
      <c r="AD18" s="79"/>
      <c r="AE18">
        <v>200</v>
      </c>
      <c r="AF18">
        <f t="shared" si="4"/>
        <v>450</v>
      </c>
      <c r="AG18" s="129">
        <v>90</v>
      </c>
      <c r="AH18" s="15">
        <f t="shared" si="2"/>
        <v>650</v>
      </c>
      <c r="AI18" s="85">
        <f>AL18/AB18</f>
        <v>3.1109161249152476E-2</v>
      </c>
      <c r="AJ18" s="85">
        <f>Z18+AI18</f>
        <v>6.0503330275595235E-2</v>
      </c>
      <c r="AK18">
        <f>AH18/5</f>
        <v>130</v>
      </c>
      <c r="AL18">
        <f>AK18*12</f>
        <v>1560</v>
      </c>
    </row>
    <row r="19" spans="1:38" x14ac:dyDescent="0.2">
      <c r="A19" s="4" t="s">
        <v>141</v>
      </c>
      <c r="B19" s="7">
        <v>38202.67</v>
      </c>
      <c r="C19" s="65"/>
      <c r="F19" s="7"/>
      <c r="G19" s="59"/>
      <c r="H19" s="47"/>
      <c r="I19" s="7"/>
      <c r="J19" s="7"/>
      <c r="K19" s="7">
        <f>AC19-H19-I19-J19-M19-N19-O19-P19-Q19-R19-S19</f>
        <v>34706.772222222229</v>
      </c>
      <c r="L19" s="7"/>
      <c r="M19" s="7">
        <f>AC19*0.0125</f>
        <v>498.18333333333339</v>
      </c>
      <c r="N19" s="88">
        <f>AC19*0.0125</f>
        <v>498.18333333333339</v>
      </c>
      <c r="O19" s="88">
        <f>AC19*0.025*10/12</f>
        <v>830.30555555555566</v>
      </c>
      <c r="P19" s="22">
        <f>AC19*0.05</f>
        <v>1992.7333333333336</v>
      </c>
      <c r="S19" s="7">
        <f>AC19*8*0.05/12</f>
        <v>1328.4888888888891</v>
      </c>
      <c r="T19" s="7"/>
      <c r="U19" s="59">
        <f t="shared" si="3"/>
        <v>39854.666666666679</v>
      </c>
      <c r="V19" s="70">
        <f t="shared" si="0"/>
        <v>39854.666666666679</v>
      </c>
      <c r="W19" s="47">
        <f t="shared" si="1"/>
        <v>1651.9966666666805</v>
      </c>
      <c r="X19" s="7"/>
      <c r="Y19" s="4" t="s">
        <v>152</v>
      </c>
      <c r="Z19" s="78">
        <f>AA19/AB19-1</f>
        <v>4.2031345410136423E-2</v>
      </c>
      <c r="AA19" s="15">
        <v>40956</v>
      </c>
      <c r="AB19" s="15">
        <v>39304</v>
      </c>
      <c r="AC19" s="15">
        <f>AB19/24*16+AA19/24*8</f>
        <v>39854.666666666672</v>
      </c>
      <c r="AD19" s="15"/>
      <c r="AE19">
        <v>200</v>
      </c>
      <c r="AF19">
        <f t="shared" si="4"/>
        <v>600</v>
      </c>
      <c r="AG19" s="129">
        <v>120</v>
      </c>
      <c r="AH19" s="15">
        <f t="shared" si="2"/>
        <v>800</v>
      </c>
      <c r="AI19" s="85">
        <f>AL19/AB19</f>
        <v>4.8849989822918785E-2</v>
      </c>
      <c r="AJ19" s="85">
        <f>Z19+AI19</f>
        <v>9.0881335233055208E-2</v>
      </c>
      <c r="AK19">
        <f>AH19/5</f>
        <v>160</v>
      </c>
      <c r="AL19">
        <f>AK19*12</f>
        <v>1920</v>
      </c>
    </row>
    <row r="20" spans="1:38" x14ac:dyDescent="0.2">
      <c r="A20" t="s">
        <v>253</v>
      </c>
      <c r="B20" s="7">
        <v>42567.54</v>
      </c>
      <c r="C20" s="65"/>
      <c r="F20" s="7"/>
      <c r="G20" s="59"/>
      <c r="H20" s="47">
        <f>AC20*0.05</f>
        <v>2251.875</v>
      </c>
      <c r="I20" s="7"/>
      <c r="J20" s="7"/>
      <c r="K20" s="7"/>
      <c r="L20" s="7"/>
      <c r="M20" s="7">
        <f>AC20*0.0125</f>
        <v>562.96875</v>
      </c>
      <c r="N20" s="7"/>
      <c r="O20" s="7">
        <f>(AC20*0.25*9)/12</f>
        <v>8444.53125</v>
      </c>
      <c r="P20" s="7">
        <f>AC20*0.1</f>
        <v>4503.75</v>
      </c>
      <c r="Q20" s="7">
        <f>AC20*0.2</f>
        <v>9007.5</v>
      </c>
      <c r="R20" s="7">
        <f>AC20-H20-I20-J20-K20-M20-N20-O20-P20-Q20-S20</f>
        <v>17264.375</v>
      </c>
      <c r="S20" s="7">
        <f>AC20*8*0.1/12</f>
        <v>3002.5</v>
      </c>
      <c r="T20" s="7"/>
      <c r="U20" s="59">
        <f t="shared" si="3"/>
        <v>45037.5</v>
      </c>
      <c r="V20" s="70">
        <f t="shared" si="0"/>
        <v>45037.5</v>
      </c>
      <c r="W20" s="47">
        <f t="shared" si="1"/>
        <v>2469.9599999999991</v>
      </c>
      <c r="X20" s="7"/>
      <c r="Y20" s="4" t="s">
        <v>257</v>
      </c>
      <c r="Z20" s="78">
        <v>0</v>
      </c>
      <c r="AA20" s="15"/>
      <c r="AB20" s="15">
        <v>60050</v>
      </c>
      <c r="AC20" s="79">
        <f>AB20/24*18</f>
        <v>45037.5</v>
      </c>
      <c r="AD20" s="79"/>
      <c r="AE20">
        <v>200</v>
      </c>
      <c r="AF20">
        <f t="shared" si="4"/>
        <v>300</v>
      </c>
      <c r="AG20" s="129">
        <v>60</v>
      </c>
      <c r="AH20" s="15">
        <f t="shared" si="2"/>
        <v>500</v>
      </c>
      <c r="AI20" s="85">
        <f>AL20/AB20</f>
        <v>1.9983347210657785E-2</v>
      </c>
      <c r="AJ20" s="85"/>
      <c r="AK20">
        <f>AH20/5</f>
        <v>100</v>
      </c>
      <c r="AL20">
        <f>AK20*12</f>
        <v>1200</v>
      </c>
    </row>
    <row r="21" spans="1:38" x14ac:dyDescent="0.2">
      <c r="A21" s="4"/>
      <c r="B21" s="7"/>
      <c r="C21" s="65"/>
      <c r="F21" s="7"/>
      <c r="G21" s="59"/>
      <c r="H21" s="4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59"/>
      <c r="V21" s="70"/>
      <c r="W21" s="47"/>
      <c r="X21" s="7"/>
      <c r="Y21" s="4"/>
      <c r="Z21" s="78"/>
      <c r="AA21" s="15"/>
      <c r="AB21" s="15"/>
      <c r="AC21" s="79"/>
      <c r="AD21" s="79"/>
      <c r="AG21" s="129"/>
      <c r="AH21" s="15"/>
      <c r="AI21" s="85"/>
      <c r="AJ21" s="85"/>
    </row>
    <row r="22" spans="1:38" x14ac:dyDescent="0.2">
      <c r="A22" s="4" t="s">
        <v>251</v>
      </c>
      <c r="B22" s="7">
        <v>0</v>
      </c>
      <c r="C22" s="64"/>
      <c r="D22" s="38"/>
      <c r="E22" s="38"/>
      <c r="F22" s="7"/>
      <c r="G22" s="59"/>
      <c r="H22" s="47"/>
      <c r="I22" s="7"/>
      <c r="J22" s="7"/>
      <c r="K22" s="7"/>
      <c r="L22" s="7"/>
      <c r="M22" s="7"/>
      <c r="N22" s="7"/>
      <c r="O22" s="7"/>
      <c r="P22" s="7">
        <f>AC22-Q22</f>
        <v>55706.612500000003</v>
      </c>
      <c r="Q22" s="7">
        <f>AC22*0.3*0.75</f>
        <v>16172.887499999999</v>
      </c>
      <c r="R22" s="7"/>
      <c r="S22" s="7"/>
      <c r="T22" s="7"/>
      <c r="U22" s="59">
        <f t="shared" si="3"/>
        <v>71879.5</v>
      </c>
      <c r="V22" s="70">
        <f t="shared" ref="V22:V30" si="5">G22+U22</f>
        <v>71879.5</v>
      </c>
      <c r="W22" s="47">
        <f t="shared" ref="W22:W39" si="6">V22-B22</f>
        <v>71879.5</v>
      </c>
      <c r="X22" s="7"/>
      <c r="Y22" s="4" t="s">
        <v>151</v>
      </c>
      <c r="Z22" s="78">
        <f>AA22/AB22-1</f>
        <v>1.9488054130377019E-2</v>
      </c>
      <c r="AA22" s="15">
        <v>72925</v>
      </c>
      <c r="AB22" s="15">
        <v>71531</v>
      </c>
      <c r="AC22" s="79">
        <f>(AA22/12*3)+(AB22/12*9)</f>
        <v>71879.5</v>
      </c>
      <c r="AD22" s="79"/>
      <c r="AE22">
        <v>200</v>
      </c>
      <c r="AF22">
        <f t="shared" si="4"/>
        <v>300</v>
      </c>
      <c r="AG22" s="129">
        <v>60</v>
      </c>
      <c r="AH22" s="15">
        <f t="shared" ref="AH22:AH30" si="7">AE22+AF22</f>
        <v>500</v>
      </c>
      <c r="AI22" s="85">
        <f>AL22/AB22</f>
        <v>1.6775943297311656E-2</v>
      </c>
      <c r="AJ22" s="85">
        <f>Z22+AI22</f>
        <v>3.6263997427688675E-2</v>
      </c>
      <c r="AK22">
        <f>AH22/5</f>
        <v>100</v>
      </c>
      <c r="AL22">
        <f>AK22*12</f>
        <v>1200</v>
      </c>
    </row>
    <row r="23" spans="1:38" x14ac:dyDescent="0.2">
      <c r="A23" s="4" t="s">
        <v>153</v>
      </c>
      <c r="B23" s="7">
        <v>0</v>
      </c>
      <c r="C23" s="65"/>
      <c r="F23" s="7"/>
      <c r="G23" s="59"/>
      <c r="H23" s="47"/>
      <c r="I23" s="7"/>
      <c r="J23" s="7"/>
      <c r="K23" s="7"/>
      <c r="L23" s="7"/>
      <c r="M23" s="7"/>
      <c r="P23" s="7">
        <f>(AC23/12*2)+2867.61</f>
        <v>9950.9711111111101</v>
      </c>
      <c r="Q23" s="7"/>
      <c r="S23" s="7"/>
      <c r="T23" s="7"/>
      <c r="U23" s="59">
        <f t="shared" si="3"/>
        <v>9950.9711111111101</v>
      </c>
      <c r="V23" s="70">
        <f t="shared" si="5"/>
        <v>9950.9711111111101</v>
      </c>
      <c r="W23" s="47">
        <f t="shared" si="6"/>
        <v>9950.9711111111101</v>
      </c>
      <c r="X23" s="7"/>
      <c r="Y23" s="4" t="s">
        <v>151</v>
      </c>
      <c r="Z23" s="78">
        <f>AA23/AB23-1</f>
        <v>3.918777872663437E-2</v>
      </c>
      <c r="AA23" s="15">
        <v>43808</v>
      </c>
      <c r="AB23" s="15">
        <v>42156</v>
      </c>
      <c r="AC23" s="15">
        <f>AB23/24*19+AA23/24*5</f>
        <v>42500.166666666664</v>
      </c>
      <c r="AD23" s="15"/>
      <c r="AE23">
        <v>200</v>
      </c>
      <c r="AF23">
        <f t="shared" si="4"/>
        <v>450</v>
      </c>
      <c r="AG23" s="129">
        <v>90</v>
      </c>
      <c r="AH23" s="15">
        <f t="shared" si="7"/>
        <v>650</v>
      </c>
      <c r="AI23" s="85">
        <f>AL23/AB23</f>
        <v>3.7005408482778251E-2</v>
      </c>
      <c r="AJ23" s="85">
        <f>Z23+AI23</f>
        <v>7.6193187209412622E-2</v>
      </c>
      <c r="AK23">
        <f>AH23/5</f>
        <v>130</v>
      </c>
      <c r="AL23">
        <f>AK23*12</f>
        <v>1560</v>
      </c>
    </row>
    <row r="24" spans="1:38" x14ac:dyDescent="0.2">
      <c r="A24" s="4" t="s">
        <v>154</v>
      </c>
      <c r="B24" s="7">
        <v>0</v>
      </c>
      <c r="C24" s="65"/>
      <c r="F24" s="7"/>
      <c r="G24" s="47"/>
      <c r="H24" s="47"/>
      <c r="I24" s="7"/>
      <c r="J24" s="7"/>
      <c r="K24" s="7"/>
      <c r="L24" s="7"/>
      <c r="M24" s="7"/>
      <c r="P24" s="7">
        <f>AC24-Q24</f>
        <v>38745.26666666667</v>
      </c>
      <c r="Q24" s="7">
        <f>AC24*0.2*0.75</f>
        <v>6837.4000000000015</v>
      </c>
      <c r="S24" s="7"/>
      <c r="T24" s="7"/>
      <c r="U24" s="59">
        <f t="shared" si="3"/>
        <v>45582.666666666672</v>
      </c>
      <c r="V24" s="70">
        <f t="shared" si="5"/>
        <v>45582.666666666672</v>
      </c>
      <c r="W24" s="47">
        <f t="shared" si="6"/>
        <v>45582.666666666672</v>
      </c>
      <c r="X24" s="7"/>
      <c r="Y24" s="4" t="s">
        <v>151</v>
      </c>
      <c r="Z24" s="78">
        <f>AA24/AB24-1</f>
        <v>3.238011438627364E-2</v>
      </c>
      <c r="AA24" s="15">
        <v>46932</v>
      </c>
      <c r="AB24" s="15">
        <v>45460</v>
      </c>
      <c r="AC24" s="15">
        <f>AB24/12*11+AA24/12</f>
        <v>45582.666666666672</v>
      </c>
      <c r="AD24" s="15"/>
      <c r="AE24">
        <v>200</v>
      </c>
      <c r="AF24">
        <f t="shared" si="4"/>
        <v>450</v>
      </c>
      <c r="AG24" s="129">
        <v>90</v>
      </c>
      <c r="AH24" s="15">
        <f t="shared" si="7"/>
        <v>650</v>
      </c>
      <c r="AI24" s="85">
        <f>AL24/AB24</f>
        <v>3.4315882094148702E-2</v>
      </c>
      <c r="AJ24" s="85">
        <f>Z24+AI24</f>
        <v>6.6695996480422348E-2</v>
      </c>
      <c r="AK24">
        <f>AH24/5</f>
        <v>130</v>
      </c>
      <c r="AL24">
        <f>AK24*12</f>
        <v>1560</v>
      </c>
    </row>
    <row r="25" spans="1:38" x14ac:dyDescent="0.2">
      <c r="A25" s="4" t="s">
        <v>261</v>
      </c>
      <c r="B25" s="7">
        <v>37390.33</v>
      </c>
      <c r="C25" s="65"/>
      <c r="F25" s="7"/>
      <c r="G25" s="91"/>
      <c r="H25" s="47"/>
      <c r="I25" s="7"/>
      <c r="J25" s="7"/>
      <c r="K25" s="7"/>
      <c r="L25" s="7"/>
      <c r="M25" s="7"/>
      <c r="P25" s="7">
        <f>AC25-Q25</f>
        <v>0</v>
      </c>
      <c r="Q25" s="7">
        <f t="shared" ref="Q25:Q30" si="8">AC25</f>
        <v>37858.5</v>
      </c>
      <c r="S25" s="7"/>
      <c r="T25" s="7"/>
      <c r="U25" s="59">
        <f t="shared" si="3"/>
        <v>37858.5</v>
      </c>
      <c r="V25" s="70">
        <f t="shared" si="5"/>
        <v>37858.5</v>
      </c>
      <c r="W25" s="47">
        <f t="shared" si="6"/>
        <v>468.16999999999825</v>
      </c>
      <c r="X25" s="7"/>
      <c r="Y25" s="4" t="s">
        <v>152</v>
      </c>
      <c r="Z25" s="78">
        <f>AA25/AB25-1</f>
        <v>4.3875491341761386E-2</v>
      </c>
      <c r="AA25" s="15">
        <v>39304</v>
      </c>
      <c r="AB25" s="15">
        <v>37652</v>
      </c>
      <c r="AC25" s="15">
        <f>AB25/24*21+AA25/24*3</f>
        <v>37858.5</v>
      </c>
      <c r="AD25" s="15"/>
      <c r="AE25">
        <v>200</v>
      </c>
      <c r="AF25">
        <f t="shared" si="4"/>
        <v>600</v>
      </c>
      <c r="AG25" s="129">
        <v>120</v>
      </c>
      <c r="AH25" s="15">
        <f t="shared" si="7"/>
        <v>800</v>
      </c>
      <c r="AI25" s="85">
        <f>AL25/AB25</f>
        <v>5.0993307128439393E-2</v>
      </c>
      <c r="AJ25" s="85">
        <f>Z25+AI25</f>
        <v>9.4868798470200771E-2</v>
      </c>
      <c r="AK25">
        <f>AH25/5</f>
        <v>160</v>
      </c>
      <c r="AL25">
        <f>AK25*12</f>
        <v>1920</v>
      </c>
    </row>
    <row r="26" spans="1:38" x14ac:dyDescent="0.2">
      <c r="A26" s="4" t="s">
        <v>242</v>
      </c>
      <c r="B26" s="7"/>
      <c r="C26" s="65"/>
      <c r="F26" s="7"/>
      <c r="G26" s="65"/>
      <c r="H26" s="47"/>
      <c r="I26" s="7"/>
      <c r="J26" s="7"/>
      <c r="K26" s="7"/>
      <c r="L26" s="7"/>
      <c r="M26" s="7"/>
      <c r="P26" s="7"/>
      <c r="Q26" s="7">
        <f t="shared" si="8"/>
        <v>17720</v>
      </c>
      <c r="S26" s="7"/>
      <c r="T26" s="7"/>
      <c r="U26" s="59">
        <f t="shared" si="3"/>
        <v>17720</v>
      </c>
      <c r="V26" s="70">
        <f t="shared" si="5"/>
        <v>17720</v>
      </c>
      <c r="W26" s="47">
        <f t="shared" si="6"/>
        <v>17720</v>
      </c>
      <c r="X26" s="7"/>
      <c r="Y26" s="4" t="s">
        <v>258</v>
      </c>
      <c r="Z26" s="78"/>
      <c r="AA26" s="15"/>
      <c r="AB26" s="15">
        <f>51960+1200</f>
        <v>53160</v>
      </c>
      <c r="AC26" s="15">
        <f>AB26/12*4</f>
        <v>17720</v>
      </c>
      <c r="AD26" s="15"/>
      <c r="AE26">
        <v>200</v>
      </c>
      <c r="AF26">
        <f t="shared" si="4"/>
        <v>450</v>
      </c>
      <c r="AG26" s="129">
        <v>90</v>
      </c>
      <c r="AH26" s="15">
        <f t="shared" si="7"/>
        <v>650</v>
      </c>
      <c r="AI26" s="85">
        <f>AL26/AB26</f>
        <v>2.9345372460496615E-2</v>
      </c>
      <c r="AJ26" s="85"/>
      <c r="AK26">
        <f>AH26/5</f>
        <v>130</v>
      </c>
      <c r="AL26">
        <f>AK26*12</f>
        <v>1560</v>
      </c>
    </row>
    <row r="27" spans="1:38" x14ac:dyDescent="0.2">
      <c r="A27" s="4" t="s">
        <v>252</v>
      </c>
      <c r="B27" s="7"/>
      <c r="C27" s="65"/>
      <c r="F27" s="7"/>
      <c r="G27" s="65"/>
      <c r="H27" s="47"/>
      <c r="I27" s="7"/>
      <c r="J27" s="7"/>
      <c r="K27" s="7"/>
      <c r="L27" s="7"/>
      <c r="M27" s="7"/>
      <c r="P27" s="7"/>
      <c r="Q27" s="7">
        <f t="shared" si="8"/>
        <v>17720</v>
      </c>
      <c r="S27" s="7"/>
      <c r="T27" s="7"/>
      <c r="U27" s="59">
        <f t="shared" si="3"/>
        <v>17720</v>
      </c>
      <c r="V27" s="70">
        <f t="shared" si="5"/>
        <v>17720</v>
      </c>
      <c r="W27" s="47">
        <f t="shared" si="6"/>
        <v>17720</v>
      </c>
      <c r="X27" s="7"/>
      <c r="Y27" s="4" t="s">
        <v>258</v>
      </c>
      <c r="Z27" s="78"/>
      <c r="AA27" s="15"/>
      <c r="AB27" s="15">
        <f>51960+1200</f>
        <v>53160</v>
      </c>
      <c r="AC27" s="15">
        <f>AB27/12*4</f>
        <v>17720</v>
      </c>
      <c r="AD27" s="15"/>
      <c r="AE27">
        <v>200</v>
      </c>
      <c r="AF27">
        <f t="shared" si="4"/>
        <v>450</v>
      </c>
      <c r="AG27" s="129">
        <v>90</v>
      </c>
      <c r="AH27" s="15">
        <f t="shared" si="7"/>
        <v>650</v>
      </c>
      <c r="AI27" s="85">
        <f>AL27/AB27</f>
        <v>2.9345372460496615E-2</v>
      </c>
      <c r="AJ27" s="85"/>
      <c r="AK27">
        <f>AH27/5</f>
        <v>130</v>
      </c>
      <c r="AL27">
        <f>AK27*12</f>
        <v>1560</v>
      </c>
    </row>
    <row r="28" spans="1:38" x14ac:dyDescent="0.2">
      <c r="A28" s="4" t="s">
        <v>243</v>
      </c>
      <c r="B28" s="7"/>
      <c r="C28" s="65"/>
      <c r="F28" s="7"/>
      <c r="G28" s="65"/>
      <c r="H28" s="47"/>
      <c r="I28" s="7"/>
      <c r="J28" s="7"/>
      <c r="K28" s="7"/>
      <c r="L28" s="7"/>
      <c r="M28" s="7"/>
      <c r="P28" s="7"/>
      <c r="Q28" s="7">
        <f t="shared" si="8"/>
        <v>20281.25</v>
      </c>
      <c r="S28" s="7"/>
      <c r="T28" s="7"/>
      <c r="U28" s="59">
        <f t="shared" si="3"/>
        <v>20281.25</v>
      </c>
      <c r="V28" s="70">
        <f t="shared" si="5"/>
        <v>20281.25</v>
      </c>
      <c r="W28" s="47">
        <f t="shared" si="6"/>
        <v>20281.25</v>
      </c>
      <c r="X28" s="7"/>
      <c r="Y28" s="4" t="s">
        <v>259</v>
      </c>
      <c r="Z28" s="78"/>
      <c r="AA28" s="15"/>
      <c r="AB28" s="15">
        <v>48675</v>
      </c>
      <c r="AC28" s="15">
        <f>AB28/12*5</f>
        <v>20281.25</v>
      </c>
      <c r="AD28" s="15"/>
      <c r="AE28">
        <v>200</v>
      </c>
      <c r="AF28">
        <f t="shared" si="4"/>
        <v>450</v>
      </c>
      <c r="AG28" s="129">
        <v>90</v>
      </c>
      <c r="AH28" s="15">
        <f t="shared" si="7"/>
        <v>650</v>
      </c>
      <c r="AI28" s="85">
        <f>AL28/AB28</f>
        <v>3.2049306625577811E-2</v>
      </c>
      <c r="AJ28" s="85"/>
      <c r="AK28">
        <f>AH28/5</f>
        <v>130</v>
      </c>
      <c r="AL28">
        <f>AK28*12</f>
        <v>1560</v>
      </c>
    </row>
    <row r="29" spans="1:38" x14ac:dyDescent="0.2">
      <c r="A29" s="4" t="s">
        <v>244</v>
      </c>
      <c r="B29" s="7"/>
      <c r="C29" s="65"/>
      <c r="F29" s="7"/>
      <c r="G29" s="65"/>
      <c r="H29" s="47"/>
      <c r="I29" s="7"/>
      <c r="J29" s="7"/>
      <c r="K29" s="7"/>
      <c r="L29" s="7"/>
      <c r="M29" s="7"/>
      <c r="P29" s="7"/>
      <c r="Q29" s="7">
        <f t="shared" si="8"/>
        <v>18441.666666666668</v>
      </c>
      <c r="S29" s="7"/>
      <c r="T29" s="7"/>
      <c r="U29" s="59">
        <f t="shared" si="3"/>
        <v>18441.666666666668</v>
      </c>
      <c r="V29" s="70">
        <f t="shared" si="5"/>
        <v>18441.666666666668</v>
      </c>
      <c r="W29" s="47">
        <f t="shared" si="6"/>
        <v>18441.666666666668</v>
      </c>
      <c r="X29" s="7"/>
      <c r="Y29" s="4" t="s">
        <v>236</v>
      </c>
      <c r="Z29" s="78"/>
      <c r="AA29" s="15"/>
      <c r="AB29" s="15">
        <v>44260</v>
      </c>
      <c r="AC29" s="15">
        <f>AB29/12*5</f>
        <v>18441.666666666668</v>
      </c>
      <c r="AD29" s="15"/>
      <c r="AE29">
        <v>200</v>
      </c>
      <c r="AF29">
        <f t="shared" si="4"/>
        <v>450</v>
      </c>
      <c r="AG29" s="129">
        <v>90</v>
      </c>
      <c r="AH29" s="15">
        <f t="shared" si="7"/>
        <v>650</v>
      </c>
      <c r="AI29" s="85">
        <f>AL29/AB29</f>
        <v>3.5246272028920021E-2</v>
      </c>
      <c r="AJ29" s="85"/>
      <c r="AK29">
        <f>AH29/5</f>
        <v>130</v>
      </c>
      <c r="AL29">
        <f>AK29*12</f>
        <v>1560</v>
      </c>
    </row>
    <row r="30" spans="1:38" x14ac:dyDescent="0.2">
      <c r="A30" s="4" t="s">
        <v>245</v>
      </c>
      <c r="B30" s="7"/>
      <c r="C30" s="65"/>
      <c r="F30" s="7"/>
      <c r="G30" s="65"/>
      <c r="H30" s="112"/>
      <c r="I30" s="111"/>
      <c r="J30" s="111"/>
      <c r="K30" s="111"/>
      <c r="L30" s="111"/>
      <c r="M30" s="111"/>
      <c r="P30" s="7"/>
      <c r="Q30" s="7">
        <f t="shared" si="8"/>
        <v>17065</v>
      </c>
      <c r="S30" s="7"/>
      <c r="T30" s="7"/>
      <c r="U30" s="59">
        <f t="shared" si="3"/>
        <v>17065</v>
      </c>
      <c r="V30" s="70">
        <f t="shared" si="5"/>
        <v>17065</v>
      </c>
      <c r="W30" s="47">
        <f t="shared" si="6"/>
        <v>17065</v>
      </c>
      <c r="X30" s="7"/>
      <c r="Y30" s="4" t="s">
        <v>260</v>
      </c>
      <c r="Z30" s="78"/>
      <c r="AA30" s="15"/>
      <c r="AB30" s="15">
        <v>40956</v>
      </c>
      <c r="AC30" s="15">
        <f>AB30/12*5</f>
        <v>17065</v>
      </c>
      <c r="AD30" s="15"/>
      <c r="AE30">
        <v>200</v>
      </c>
      <c r="AF30">
        <f t="shared" si="4"/>
        <v>450</v>
      </c>
      <c r="AG30" s="129">
        <v>90</v>
      </c>
      <c r="AH30" s="15">
        <f t="shared" si="7"/>
        <v>650</v>
      </c>
      <c r="AI30" s="85">
        <f>AL30/AB30</f>
        <v>3.8089657193085262E-2</v>
      </c>
      <c r="AJ30" s="85"/>
      <c r="AK30">
        <f>AH30/5</f>
        <v>130</v>
      </c>
      <c r="AL30">
        <f>AK30*12</f>
        <v>1560</v>
      </c>
    </row>
    <row r="31" spans="1:38" x14ac:dyDescent="0.2">
      <c r="A31" s="4"/>
      <c r="B31" s="7"/>
      <c r="C31" s="110"/>
      <c r="D31" s="89"/>
      <c r="E31" s="89"/>
      <c r="F31" s="111"/>
      <c r="G31" s="112"/>
      <c r="H31" s="112"/>
      <c r="I31" s="111"/>
      <c r="J31" s="111"/>
      <c r="K31" s="111"/>
      <c r="L31" s="111"/>
      <c r="M31" s="111"/>
      <c r="P31" s="7"/>
      <c r="Q31" s="7"/>
      <c r="S31" s="7"/>
      <c r="T31" s="7"/>
      <c r="U31" s="59"/>
      <c r="V31" s="70"/>
      <c r="W31" s="47"/>
      <c r="X31" s="7"/>
      <c r="Y31" s="4"/>
      <c r="Z31" s="78"/>
      <c r="AA31" s="15"/>
      <c r="AB31" s="15"/>
      <c r="AC31" s="15"/>
      <c r="AD31" s="15"/>
      <c r="AG31" s="129"/>
      <c r="AH31" s="15"/>
      <c r="AI31" s="85"/>
      <c r="AJ31" s="85"/>
    </row>
    <row r="32" spans="1:38" x14ac:dyDescent="0.2">
      <c r="A32" s="4" t="s">
        <v>156</v>
      </c>
      <c r="B32" s="7">
        <v>52008</v>
      </c>
      <c r="C32" s="47">
        <f>(AB32/12*8*0.5)+(AA32/12*4*0.15)</f>
        <v>20686.599999999999</v>
      </c>
      <c r="D32" s="47"/>
      <c r="E32" s="47"/>
      <c r="F32" s="47">
        <f>(AA32/12*4*0.85)+(AB32/12*8*0.5)</f>
        <v>33597.4</v>
      </c>
      <c r="G32" s="47">
        <f>C32+D32+F32</f>
        <v>54284</v>
      </c>
      <c r="H32" s="47"/>
      <c r="I32" s="113"/>
      <c r="J32" s="113"/>
      <c r="K32" s="7"/>
      <c r="L32" s="7"/>
      <c r="M32" s="7"/>
      <c r="N32" s="7"/>
      <c r="O32" s="7"/>
      <c r="P32" s="7"/>
      <c r="Q32" s="7"/>
      <c r="R32" s="7"/>
      <c r="S32" s="7"/>
      <c r="T32" s="7"/>
      <c r="U32" s="59">
        <f t="shared" si="3"/>
        <v>0</v>
      </c>
      <c r="V32" s="70">
        <f t="shared" ref="V32:V39" si="9">G32+U32</f>
        <v>54284</v>
      </c>
      <c r="W32" s="47">
        <f t="shared" si="6"/>
        <v>2276</v>
      </c>
      <c r="X32" s="7"/>
      <c r="Y32" s="4" t="s">
        <v>151</v>
      </c>
      <c r="Z32" s="78">
        <f t="shared" ref="Z32" si="10">AA32/AB32-1</f>
        <v>2.9241071428571352E-2</v>
      </c>
      <c r="AA32" s="15">
        <v>55332</v>
      </c>
      <c r="AB32" s="15">
        <v>53760</v>
      </c>
      <c r="AC32" s="15">
        <f>(AB32/12*8)+(AA32/12*4)</f>
        <v>54284</v>
      </c>
      <c r="AD32" s="15"/>
      <c r="AE32">
        <v>200</v>
      </c>
      <c r="AF32">
        <f t="shared" si="4"/>
        <v>450</v>
      </c>
      <c r="AG32" s="129">
        <v>90</v>
      </c>
      <c r="AH32" s="15">
        <f t="shared" ref="AH32:AH38" si="11">AE32+AF32</f>
        <v>650</v>
      </c>
      <c r="AI32" s="85">
        <f>AL32/AB32</f>
        <v>2.9017857142857144E-2</v>
      </c>
      <c r="AJ32" s="85">
        <f>Z32+AI32</f>
        <v>5.8258928571428496E-2</v>
      </c>
      <c r="AK32">
        <f>AH32/5</f>
        <v>130</v>
      </c>
      <c r="AL32">
        <f>AK32*12</f>
        <v>1560</v>
      </c>
    </row>
    <row r="33" spans="1:38" x14ac:dyDescent="0.2">
      <c r="A33" s="4" t="s">
        <v>232</v>
      </c>
      <c r="B33" s="7">
        <v>45719.63</v>
      </c>
      <c r="C33" s="47">
        <f>AC33*0.6</f>
        <v>15120</v>
      </c>
      <c r="D33" s="7"/>
      <c r="E33" s="7"/>
      <c r="F33" s="7">
        <f>AC33*0.4</f>
        <v>10080</v>
      </c>
      <c r="G33" s="47">
        <f>C33+D33+F33</f>
        <v>25200</v>
      </c>
      <c r="H33" s="47"/>
      <c r="I33" s="113"/>
      <c r="J33" s="113"/>
      <c r="K33" s="7"/>
      <c r="L33" s="7"/>
      <c r="M33" s="7"/>
      <c r="N33" s="7"/>
      <c r="O33" s="7"/>
      <c r="P33" s="7"/>
      <c r="Q33" s="7"/>
      <c r="R33" s="7"/>
      <c r="S33" s="7"/>
      <c r="T33" s="7"/>
      <c r="U33" s="59">
        <f t="shared" si="3"/>
        <v>0</v>
      </c>
      <c r="V33" s="70">
        <f t="shared" si="9"/>
        <v>25200</v>
      </c>
      <c r="W33" s="47">
        <f t="shared" si="6"/>
        <v>-20519.629999999997</v>
      </c>
      <c r="X33" s="7"/>
      <c r="Y33" s="4" t="s">
        <v>158</v>
      </c>
      <c r="Z33" s="78"/>
      <c r="AA33" s="15"/>
      <c r="AB33" s="15">
        <v>43200</v>
      </c>
      <c r="AC33" s="15">
        <f>(AB33/12*7)</f>
        <v>25200</v>
      </c>
      <c r="AD33" s="15"/>
      <c r="AE33">
        <v>200</v>
      </c>
      <c r="AF33">
        <f t="shared" si="4"/>
        <v>450</v>
      </c>
      <c r="AG33" s="129">
        <v>90</v>
      </c>
      <c r="AH33" s="15">
        <f t="shared" si="11"/>
        <v>650</v>
      </c>
      <c r="AI33" s="85">
        <f>AL33/AB33</f>
        <v>3.6111111111111108E-2</v>
      </c>
      <c r="AJ33" s="85"/>
      <c r="AK33">
        <f>AH33/5</f>
        <v>130</v>
      </c>
      <c r="AL33">
        <f>AK33*12</f>
        <v>1560</v>
      </c>
    </row>
    <row r="34" spans="1:38" x14ac:dyDescent="0.2">
      <c r="A34" s="4" t="s">
        <v>232</v>
      </c>
      <c r="B34" s="7">
        <v>45719.63</v>
      </c>
      <c r="C34" s="47">
        <f>AC34*0.2</f>
        <v>5040</v>
      </c>
      <c r="D34" s="7"/>
      <c r="E34" s="7"/>
      <c r="F34" s="7">
        <f>AC34*0.8</f>
        <v>20160</v>
      </c>
      <c r="G34" s="47">
        <f>C34+D34+F34</f>
        <v>25200</v>
      </c>
      <c r="H34" s="47"/>
      <c r="I34" s="113"/>
      <c r="J34" s="113"/>
      <c r="K34" s="7"/>
      <c r="L34" s="7"/>
      <c r="M34" s="7"/>
      <c r="N34" s="7"/>
      <c r="O34" s="7"/>
      <c r="P34" s="7"/>
      <c r="Q34" s="7"/>
      <c r="R34" s="7"/>
      <c r="S34" s="7"/>
      <c r="T34" s="7"/>
      <c r="U34" s="59">
        <f t="shared" si="3"/>
        <v>0</v>
      </c>
      <c r="V34" s="70">
        <f t="shared" si="9"/>
        <v>25200</v>
      </c>
      <c r="W34" s="47">
        <f t="shared" si="6"/>
        <v>-20519.629999999997</v>
      </c>
      <c r="X34" s="7"/>
      <c r="Y34" s="4" t="s">
        <v>158</v>
      </c>
      <c r="Z34" s="78"/>
      <c r="AA34" s="15"/>
      <c r="AB34" s="15">
        <v>43200</v>
      </c>
      <c r="AC34" s="15">
        <f>(AB34/12*7)</f>
        <v>25200</v>
      </c>
      <c r="AD34" s="15"/>
      <c r="AE34">
        <v>200</v>
      </c>
      <c r="AF34">
        <f t="shared" si="4"/>
        <v>450</v>
      </c>
      <c r="AG34" s="129">
        <v>90</v>
      </c>
      <c r="AH34" s="15">
        <f t="shared" si="11"/>
        <v>650</v>
      </c>
      <c r="AI34" s="85">
        <f>AL34/AB34</f>
        <v>3.6111111111111108E-2</v>
      </c>
      <c r="AJ34" s="85"/>
      <c r="AK34">
        <f>AH34/5</f>
        <v>130</v>
      </c>
      <c r="AL34">
        <f>AK34*12</f>
        <v>1560</v>
      </c>
    </row>
    <row r="35" spans="1:38" x14ac:dyDescent="0.2">
      <c r="A35" s="4" t="s">
        <v>231</v>
      </c>
      <c r="B35" s="7">
        <v>48556</v>
      </c>
      <c r="C35" s="47">
        <f>(AB35/12*4*0.5)</f>
        <v>8076</v>
      </c>
      <c r="D35" s="7"/>
      <c r="E35" s="7"/>
      <c r="F35" s="7">
        <f>(AB35/12*4)*0.5</f>
        <v>8076</v>
      </c>
      <c r="G35" s="59">
        <f>C35+F35</f>
        <v>16152</v>
      </c>
      <c r="H35" s="47"/>
      <c r="I35" s="113"/>
      <c r="J35" s="113"/>
      <c r="K35" s="7"/>
      <c r="L35" s="7"/>
      <c r="M35" s="7"/>
      <c r="S35" s="7"/>
      <c r="T35" s="7"/>
      <c r="U35" s="59">
        <f t="shared" si="3"/>
        <v>0</v>
      </c>
      <c r="V35" s="70">
        <f t="shared" si="9"/>
        <v>16152</v>
      </c>
      <c r="W35" s="47">
        <f t="shared" si="6"/>
        <v>-32404</v>
      </c>
      <c r="X35" s="7"/>
      <c r="Y35" s="4" t="s">
        <v>260</v>
      </c>
      <c r="Z35" s="78"/>
      <c r="AA35" s="15"/>
      <c r="AB35" s="15">
        <v>48456</v>
      </c>
      <c r="AC35" s="15">
        <f>AB35/12*4</f>
        <v>16152</v>
      </c>
      <c r="AD35" s="15"/>
      <c r="AE35">
        <v>200</v>
      </c>
      <c r="AF35">
        <f t="shared" si="4"/>
        <v>450</v>
      </c>
      <c r="AG35" s="129">
        <v>90</v>
      </c>
      <c r="AH35" s="15">
        <f t="shared" si="11"/>
        <v>650</v>
      </c>
      <c r="AI35" s="85">
        <f>AL35/AB35</f>
        <v>3.2194155522535906E-2</v>
      </c>
      <c r="AJ35" s="85"/>
      <c r="AK35">
        <f>AH35/5</f>
        <v>130</v>
      </c>
      <c r="AL35">
        <f>AK35*12</f>
        <v>1560</v>
      </c>
    </row>
    <row r="36" spans="1:38" x14ac:dyDescent="0.2">
      <c r="A36" s="4" t="s">
        <v>140</v>
      </c>
      <c r="B36" s="7">
        <v>44086</v>
      </c>
      <c r="C36" s="47">
        <f>(AB36/12*3+AA36/12*3)*0.5</f>
        <v>11549</v>
      </c>
      <c r="F36" s="7">
        <f>(AB36/12*3+AA36/12*3)*0.5</f>
        <v>11549</v>
      </c>
      <c r="G36" s="59">
        <f>C36+F36</f>
        <v>23098</v>
      </c>
      <c r="H36" s="47"/>
      <c r="I36" s="113"/>
      <c r="J36" s="113"/>
      <c r="K36" s="7"/>
      <c r="L36" s="7"/>
      <c r="M36" s="7"/>
      <c r="S36" s="7"/>
      <c r="T36" s="7"/>
      <c r="U36" s="59">
        <f t="shared" si="3"/>
        <v>0</v>
      </c>
      <c r="V36" s="70">
        <f t="shared" si="9"/>
        <v>23098</v>
      </c>
      <c r="W36" s="47">
        <f t="shared" si="6"/>
        <v>-20988</v>
      </c>
      <c r="X36" s="7"/>
      <c r="Y36" s="4" t="s">
        <v>151</v>
      </c>
      <c r="Z36" s="78">
        <f>AA36/AB36-1</f>
        <v>3.238011438627364E-2</v>
      </c>
      <c r="AA36" s="15">
        <f>45732+1200</f>
        <v>46932</v>
      </c>
      <c r="AB36" s="15">
        <v>45460</v>
      </c>
      <c r="AC36" s="15">
        <f>AB36/12*3+AA36/12*3</f>
        <v>23098</v>
      </c>
      <c r="AD36" s="15"/>
      <c r="AE36">
        <v>200</v>
      </c>
      <c r="AF36">
        <f t="shared" si="4"/>
        <v>450</v>
      </c>
      <c r="AG36" s="129">
        <v>90</v>
      </c>
      <c r="AH36" s="15">
        <f t="shared" si="11"/>
        <v>650</v>
      </c>
      <c r="AI36" s="85">
        <f>AL36/AB36</f>
        <v>3.4315882094148702E-2</v>
      </c>
      <c r="AJ36" s="85">
        <f>Z36+AI36</f>
        <v>6.6695996480422348E-2</v>
      </c>
      <c r="AK36">
        <f>AH36/5</f>
        <v>130</v>
      </c>
      <c r="AL36">
        <f>AK36*12</f>
        <v>1560</v>
      </c>
    </row>
    <row r="37" spans="1:38" x14ac:dyDescent="0.2">
      <c r="A37" s="4" t="s">
        <v>111</v>
      </c>
      <c r="B37" s="7">
        <v>37912</v>
      </c>
      <c r="C37" s="47">
        <f>(AB37/12*9+AA37/12*3)*0.5</f>
        <v>19897.125</v>
      </c>
      <c r="F37" s="7">
        <f>(AB37/12*9+AA37/12*3)*0.5</f>
        <v>19897.125</v>
      </c>
      <c r="G37" s="59">
        <f>C37+F37</f>
        <v>39794.25</v>
      </c>
      <c r="H37" s="47"/>
      <c r="I37" s="113"/>
      <c r="J37" s="113"/>
      <c r="K37" s="7"/>
      <c r="L37" s="7"/>
      <c r="M37" s="7"/>
      <c r="S37" s="7"/>
      <c r="T37" s="7"/>
      <c r="U37" s="59">
        <f t="shared" si="3"/>
        <v>0</v>
      </c>
      <c r="V37" s="70">
        <f t="shared" si="9"/>
        <v>39794.25</v>
      </c>
      <c r="W37" s="47">
        <f t="shared" si="6"/>
        <v>1882.25</v>
      </c>
      <c r="X37" s="7"/>
      <c r="Y37" s="4" t="s">
        <v>152</v>
      </c>
      <c r="Z37" s="80">
        <f>AA37/AB37-1</f>
        <v>3.8795290774383373E-2</v>
      </c>
      <c r="AA37" s="15">
        <v>40941</v>
      </c>
      <c r="AB37" s="79">
        <v>39412</v>
      </c>
      <c r="AC37" s="15">
        <f>AB37/12*9+AA37/12*3</f>
        <v>39794.25</v>
      </c>
      <c r="AD37" s="15"/>
      <c r="AE37">
        <v>200</v>
      </c>
      <c r="AF37">
        <f t="shared" si="4"/>
        <v>600</v>
      </c>
      <c r="AG37" s="130">
        <v>120</v>
      </c>
      <c r="AH37" s="15">
        <f t="shared" si="11"/>
        <v>800</v>
      </c>
      <c r="AI37" s="85">
        <f>AL37/AB37</f>
        <v>4.8716127067898102E-2</v>
      </c>
      <c r="AJ37" s="85">
        <f>Z37+AI37</f>
        <v>8.7511417842281475E-2</v>
      </c>
      <c r="AK37">
        <f>AH37/5</f>
        <v>160</v>
      </c>
      <c r="AL37">
        <f>AK37*12</f>
        <v>1920</v>
      </c>
    </row>
    <row r="38" spans="1:38" ht="15" x14ac:dyDescent="0.25">
      <c r="A38" t="s">
        <v>234</v>
      </c>
      <c r="B38" s="7">
        <v>17460</v>
      </c>
      <c r="C38" s="47"/>
      <c r="D38" s="7"/>
      <c r="E38" s="7"/>
      <c r="F38" s="7">
        <f>((17.5*20*8.66)+(36356/12*10))-P38-O38-Q38</f>
        <v>18179.333750000002</v>
      </c>
      <c r="G38" s="59">
        <f>C38+F38</f>
        <v>18179.333750000002</v>
      </c>
      <c r="H38" s="47"/>
      <c r="I38" s="113"/>
      <c r="J38" s="113"/>
      <c r="K38" s="7"/>
      <c r="L38" s="7"/>
      <c r="M38" s="7"/>
      <c r="N38" s="7"/>
      <c r="O38" s="7">
        <f>0.0375*AC38*10/12</f>
        <v>1041.4895833333333</v>
      </c>
      <c r="P38" s="135">
        <f>AB38/12*10*0.25-(1041.49/2)</f>
        <v>7053.4216666666662</v>
      </c>
      <c r="Q38" s="7">
        <f>AB38/12*10*0.25-(1041.49/2)</f>
        <v>7053.4216666666662</v>
      </c>
      <c r="R38" s="7"/>
      <c r="S38" s="7"/>
      <c r="T38" s="7"/>
      <c r="U38" s="59">
        <f t="shared" si="3"/>
        <v>15148.332916666666</v>
      </c>
      <c r="V38" s="70">
        <f t="shared" si="9"/>
        <v>33327.666666666672</v>
      </c>
      <c r="W38" s="47">
        <f t="shared" si="6"/>
        <v>15867.666666666672</v>
      </c>
      <c r="X38" s="7"/>
      <c r="Y38" s="4" t="s">
        <v>233</v>
      </c>
      <c r="Z38" s="78">
        <f>(17.5/16.5)-1</f>
        <v>6.0606060606060552E-2</v>
      </c>
      <c r="AA38" s="79">
        <v>36356</v>
      </c>
      <c r="AB38" s="79">
        <v>36356</v>
      </c>
      <c r="AC38" s="15">
        <f>(AB38/12*10)+(8.66*17.5*20)</f>
        <v>33327.666666666664</v>
      </c>
      <c r="AD38" s="15"/>
      <c r="AE38">
        <v>200</v>
      </c>
      <c r="AF38">
        <f t="shared" si="4"/>
        <v>600</v>
      </c>
      <c r="AG38" s="129">
        <v>120</v>
      </c>
      <c r="AH38" s="15">
        <f t="shared" si="11"/>
        <v>800</v>
      </c>
      <c r="AI38" s="85">
        <f>AL38/AB38</f>
        <v>5.2811090328969086E-2</v>
      </c>
      <c r="AJ38" s="85">
        <f>Z38+AI38</f>
        <v>0.11341715093502963</v>
      </c>
      <c r="AK38">
        <f>AH38/5</f>
        <v>160</v>
      </c>
      <c r="AL38" s="136">
        <f>AK38*12</f>
        <v>1920</v>
      </c>
    </row>
    <row r="39" spans="1:38" x14ac:dyDescent="0.2">
      <c r="A39" s="4" t="s">
        <v>86</v>
      </c>
      <c r="B39" s="7">
        <v>17320</v>
      </c>
      <c r="C39" s="47"/>
      <c r="D39" s="7"/>
      <c r="E39" s="7"/>
      <c r="F39" s="7">
        <f>((17*20*46)+(18*20*6))</f>
        <v>17800</v>
      </c>
      <c r="G39" s="47">
        <f>C39+F39</f>
        <v>17800</v>
      </c>
      <c r="H39" s="47"/>
      <c r="I39" s="113"/>
      <c r="J39" s="113"/>
      <c r="K39" s="7"/>
      <c r="L39" s="7"/>
      <c r="M39" s="7"/>
      <c r="N39" s="7"/>
      <c r="O39" s="7"/>
      <c r="P39" s="7"/>
      <c r="Q39" s="7"/>
      <c r="R39" s="7"/>
      <c r="S39" s="7"/>
      <c r="T39" s="7"/>
      <c r="U39" s="59">
        <f t="shared" si="3"/>
        <v>0</v>
      </c>
      <c r="V39" s="70">
        <f t="shared" si="9"/>
        <v>17800</v>
      </c>
      <c r="W39" s="47">
        <f t="shared" si="6"/>
        <v>480</v>
      </c>
      <c r="X39" s="7"/>
      <c r="Y39" s="4" t="s">
        <v>143</v>
      </c>
      <c r="Z39" s="29">
        <f>(17/16)-1</f>
        <v>6.25E-2</v>
      </c>
      <c r="AA39" s="43"/>
      <c r="AB39" s="43"/>
      <c r="AE39">
        <v>200</v>
      </c>
      <c r="AF39">
        <f>4.33*5*20*1</f>
        <v>433</v>
      </c>
      <c r="AG39" s="131" t="s">
        <v>296</v>
      </c>
      <c r="AH39" s="15">
        <f>5*20*4.33</f>
        <v>433</v>
      </c>
      <c r="AI39" s="85"/>
      <c r="AK39">
        <f>AH39/5</f>
        <v>86.6</v>
      </c>
      <c r="AL39" s="136">
        <f>AK39*12</f>
        <v>1039.1999999999998</v>
      </c>
    </row>
    <row r="40" spans="1:38" x14ac:dyDescent="0.2">
      <c r="A40" s="4"/>
      <c r="B40" s="7"/>
      <c r="C40" s="47"/>
      <c r="D40" s="7"/>
      <c r="E40" s="7"/>
      <c r="F40" s="7"/>
      <c r="G40" s="59"/>
      <c r="H40" s="4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9">
        <f t="shared" si="3"/>
        <v>0</v>
      </c>
      <c r="V40" s="70"/>
      <c r="W40" s="47"/>
      <c r="X40" s="7"/>
      <c r="Y40" s="4"/>
      <c r="Z40" s="29">
        <f>(Z9+Z11+Z12+Z13+Z15+Z18+Z19+Z22+Z23+Z24+Z25+Z32+Z36+Z37+Z38+Z39)/16</f>
        <v>3.5967437057765811E-2</v>
      </c>
      <c r="AA40" s="134" t="s">
        <v>307</v>
      </c>
      <c r="AB40" s="29"/>
      <c r="AC40" s="29"/>
      <c r="AD40" s="29"/>
      <c r="AE40" s="29"/>
      <c r="AF40" s="29"/>
      <c r="AG40" s="29"/>
      <c r="AH40" s="29"/>
      <c r="AI40" s="29">
        <f>(AI9+AI11+AI12+AI13+AI15+AI18+AI19+AI22+AI23+AI24+AI25+AI32+AI36+AI37+AI38+AI39)/13</f>
        <v>3.8151700807503755E-2</v>
      </c>
      <c r="AJ40" s="29">
        <f>(AJ9+AJ11+AJ12+AJ13+AJ15+AJ18+AJ19+AJ22+AJ23+AJ24+AJ25+AJ32+AJ36+AJ37+AJ38)/15</f>
        <v>6.7263406894786784E-2</v>
      </c>
      <c r="AK40" s="74"/>
    </row>
    <row r="41" spans="1:38" x14ac:dyDescent="0.2">
      <c r="A41" s="4" t="s">
        <v>166</v>
      </c>
      <c r="B41" s="7">
        <v>6656</v>
      </c>
      <c r="C41" s="47"/>
      <c r="D41" s="7"/>
      <c r="E41" s="7"/>
      <c r="F41" s="7"/>
      <c r="G41" s="59"/>
      <c r="H41" s="4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59">
        <f t="shared" si="3"/>
        <v>0</v>
      </c>
      <c r="V41" s="70">
        <f>G41+U41</f>
        <v>0</v>
      </c>
      <c r="W41" s="47">
        <f>V41-B41</f>
        <v>-6656</v>
      </c>
      <c r="X41" s="7"/>
      <c r="Y41" s="4"/>
      <c r="Z41" s="29"/>
      <c r="AA41" s="43"/>
      <c r="AB41" s="43"/>
    </row>
    <row r="42" spans="1:38" x14ac:dyDescent="0.2">
      <c r="A42" s="4" t="s">
        <v>167</v>
      </c>
      <c r="B42" s="7">
        <v>11830</v>
      </c>
      <c r="C42" s="47"/>
      <c r="D42" s="7"/>
      <c r="E42" s="7"/>
      <c r="F42" s="7"/>
      <c r="G42" s="59"/>
      <c r="H42" s="4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59">
        <f t="shared" si="3"/>
        <v>0</v>
      </c>
      <c r="V42" s="70">
        <f>G42+U42</f>
        <v>0</v>
      </c>
      <c r="W42" s="47">
        <f>V42-B42</f>
        <v>-11830</v>
      </c>
      <c r="X42" s="7"/>
      <c r="Y42" s="4"/>
      <c r="Z42" s="29"/>
      <c r="AA42" s="43"/>
      <c r="AB42" s="43"/>
    </row>
    <row r="43" spans="1:38" x14ac:dyDescent="0.2">
      <c r="A43" s="4"/>
      <c r="B43" s="7"/>
      <c r="C43" s="47"/>
      <c r="D43" s="7"/>
      <c r="E43" s="7"/>
      <c r="F43" s="7"/>
      <c r="G43" s="59"/>
      <c r="H43" s="4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59"/>
      <c r="V43" s="70"/>
      <c r="W43" s="47"/>
      <c r="X43" s="7"/>
      <c r="Y43" s="4"/>
      <c r="Z43" s="29"/>
      <c r="AA43" s="43"/>
      <c r="AB43" s="43"/>
    </row>
    <row r="44" spans="1:38" x14ac:dyDescent="0.2">
      <c r="A44" s="1" t="s">
        <v>0</v>
      </c>
      <c r="B44" s="67">
        <f>SUM(B9:B43)-0.01</f>
        <v>763165.6399999999</v>
      </c>
      <c r="C44" s="47">
        <f>SUM(C9:C43)</f>
        <v>80368.725000000006</v>
      </c>
      <c r="D44" s="7">
        <f>SUM(D9:D43)</f>
        <v>0</v>
      </c>
      <c r="E44" s="7"/>
      <c r="F44" s="7">
        <f t="shared" ref="F44:U44" si="12">SUM(F9:F43)</f>
        <v>139338.85875000001</v>
      </c>
      <c r="G44" s="47">
        <f t="shared" si="12"/>
        <v>219707.58374999999</v>
      </c>
      <c r="H44" s="47">
        <f t="shared" si="12"/>
        <v>8121.7966666666671</v>
      </c>
      <c r="I44" s="7">
        <f t="shared" si="12"/>
        <v>49296.612500000003</v>
      </c>
      <c r="J44" s="7">
        <f t="shared" si="12"/>
        <v>77509.74824999999</v>
      </c>
      <c r="K44" s="7">
        <f t="shared" si="12"/>
        <v>34706.772222222229</v>
      </c>
      <c r="L44" s="7">
        <f t="shared" si="12"/>
        <v>9589.6666666666661</v>
      </c>
      <c r="M44" s="7">
        <f t="shared" si="12"/>
        <v>51936.067208333334</v>
      </c>
      <c r="N44" s="7">
        <f t="shared" si="12"/>
        <v>41856.776055555558</v>
      </c>
      <c r="O44" s="7">
        <f t="shared" si="12"/>
        <v>57661.873305555557</v>
      </c>
      <c r="P44" s="7">
        <f t="shared" si="12"/>
        <v>136892.11265277778</v>
      </c>
      <c r="Q44" s="7">
        <f t="shared" si="12"/>
        <v>175751.15870833333</v>
      </c>
      <c r="R44" s="7">
        <f t="shared" si="12"/>
        <v>17264.375</v>
      </c>
      <c r="S44" s="7">
        <f t="shared" si="12"/>
        <v>82893.08666666667</v>
      </c>
      <c r="T44" s="7">
        <f t="shared" si="12"/>
        <v>0</v>
      </c>
      <c r="U44" s="59">
        <f t="shared" si="12"/>
        <v>743480.04590277758</v>
      </c>
      <c r="V44" s="70">
        <f>G44+U44</f>
        <v>963187.62965277757</v>
      </c>
      <c r="W44" s="47">
        <f>V44-B44</f>
        <v>200021.98965277767</v>
      </c>
      <c r="X44" s="7"/>
      <c r="Y44" s="86">
        <f>W44/B44</f>
        <v>0.26209511955068848</v>
      </c>
      <c r="Z44" s="85"/>
      <c r="AE44" s="15">
        <f>SUM(AE9:AE43)</f>
        <v>5800</v>
      </c>
      <c r="AF44" s="15">
        <f t="shared" ref="AF44" si="13">SUM(AF9:AF43)</f>
        <v>12733</v>
      </c>
      <c r="AG44" s="79"/>
    </row>
    <row r="45" spans="1:38" x14ac:dyDescent="0.2">
      <c r="A45" s="1"/>
      <c r="B45" s="7"/>
      <c r="C45" s="47"/>
      <c r="D45" s="7"/>
      <c r="E45" s="7"/>
      <c r="F45" s="7"/>
      <c r="G45" s="59"/>
      <c r="H45" s="4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59"/>
      <c r="V45" s="70"/>
      <c r="W45" s="47"/>
      <c r="X45" s="4"/>
      <c r="Y45" s="4"/>
      <c r="Z45" s="29"/>
      <c r="AE45" s="15"/>
      <c r="AF45" s="15">
        <f>AE44+AF44</f>
        <v>18533</v>
      </c>
      <c r="AG45" s="79" t="s">
        <v>25</v>
      </c>
    </row>
    <row r="46" spans="1:38" x14ac:dyDescent="0.2">
      <c r="A46" s="9" t="s">
        <v>21</v>
      </c>
      <c r="B46" s="7"/>
      <c r="C46" s="47"/>
      <c r="D46" s="7"/>
      <c r="E46" s="7"/>
      <c r="F46" s="7"/>
      <c r="G46" s="59"/>
      <c r="H46" s="4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59"/>
      <c r="V46" s="70"/>
      <c r="W46" s="47"/>
      <c r="X46" s="4"/>
      <c r="Y46" s="4"/>
      <c r="Z46" s="29"/>
      <c r="AE46" s="15"/>
      <c r="AF46" s="15">
        <f>AF45*(1+0.0765+0.2334+0.0019+0.009576)</f>
        <v>24489.061408000001</v>
      </c>
      <c r="AG46" s="79" t="s">
        <v>302</v>
      </c>
    </row>
    <row r="47" spans="1:38" x14ac:dyDescent="0.2">
      <c r="A47" s="4" t="s">
        <v>40</v>
      </c>
      <c r="B47">
        <v>106928.96000000001</v>
      </c>
      <c r="C47" s="47">
        <f>'Bene Spread 2023 II'!K11</f>
        <v>13397.565686979588</v>
      </c>
      <c r="D47" s="47"/>
      <c r="E47" s="47"/>
      <c r="F47" s="47">
        <f>'Bene Spread 2023 II'!L11</f>
        <v>20276.814313020412</v>
      </c>
      <c r="G47" s="59">
        <f t="shared" ref="G47:G55" si="14">C47+D47+F47</f>
        <v>33674.379999999997</v>
      </c>
      <c r="H47" s="47"/>
      <c r="I47" s="7">
        <f>(240+8)*12</f>
        <v>2976</v>
      </c>
      <c r="J47" s="7">
        <f>(813.02+8)*12</f>
        <v>9852.24</v>
      </c>
      <c r="K47" s="7">
        <f>(833.64+8)*12</f>
        <v>10099.68</v>
      </c>
      <c r="L47" s="7">
        <f>(833.64+8)*4</f>
        <v>3366.56</v>
      </c>
      <c r="M47" s="7">
        <f>(833.64+8)*12</f>
        <v>10099.68</v>
      </c>
      <c r="N47" s="7">
        <f>(833.64+8)*12</f>
        <v>10099.68</v>
      </c>
      <c r="O47" s="7">
        <f>((833.64+8)*3)+(980.28*3)</f>
        <v>5465.76</v>
      </c>
      <c r="P47" s="7">
        <f>'Bene Spread 2023 II'!K25</f>
        <v>23684.122000000003</v>
      </c>
      <c r="Q47" s="7">
        <f>'Bene Spread 2023 II'!L25</f>
        <v>34218.878000000004</v>
      </c>
      <c r="R47">
        <f>(833.64+8)*8</f>
        <v>6733.12</v>
      </c>
      <c r="S47" s="7">
        <f>((1395.42+8)*12)+((833.64+8)*3)</f>
        <v>19365.96</v>
      </c>
      <c r="T47" s="7"/>
      <c r="U47" s="59">
        <f t="shared" si="3"/>
        <v>135961.68</v>
      </c>
      <c r="V47" s="70">
        <f t="shared" ref="V47:V54" si="15">G47+U47</f>
        <v>169636.06</v>
      </c>
      <c r="W47" s="47">
        <f t="shared" ref="W47:W54" si="16">V47-B47</f>
        <v>62707.099999999991</v>
      </c>
      <c r="X47" s="4"/>
      <c r="Y47" s="4" t="s">
        <v>163</v>
      </c>
      <c r="Z47" s="29"/>
      <c r="AA47" s="75"/>
      <c r="AF47" s="15">
        <f>AF46*12/5</f>
        <v>58773.747379199995</v>
      </c>
      <c r="AG47" t="s">
        <v>301</v>
      </c>
    </row>
    <row r="48" spans="1:38" x14ac:dyDescent="0.2">
      <c r="A48" s="4" t="s">
        <v>39</v>
      </c>
      <c r="B48" s="7">
        <v>7465.68</v>
      </c>
      <c r="C48" s="47">
        <f>'Bene Spread 2023 II'!O11</f>
        <v>1597.0224755729128</v>
      </c>
      <c r="D48" s="47"/>
      <c r="E48" s="47"/>
      <c r="F48" s="47">
        <f>'Bene Spread 2023 II'!P11</f>
        <v>2310.4575244270873</v>
      </c>
      <c r="G48" s="59">
        <f t="shared" si="14"/>
        <v>3907.48</v>
      </c>
      <c r="H48" s="47"/>
      <c r="I48" s="7">
        <f>(43.86*12)</f>
        <v>526.31999999999994</v>
      </c>
      <c r="J48" s="7">
        <f>(43.86*12)</f>
        <v>526.31999999999994</v>
      </c>
      <c r="K48" s="7">
        <f>(43.86*12)</f>
        <v>526.31999999999994</v>
      </c>
      <c r="L48" s="7">
        <f>(43.86*4)</f>
        <v>175.44</v>
      </c>
      <c r="M48" s="7">
        <f>43.86*12</f>
        <v>526.31999999999994</v>
      </c>
      <c r="N48" s="7">
        <f>43.86*12</f>
        <v>526.31999999999994</v>
      </c>
      <c r="O48" s="7">
        <f>(43.86*5)+(97.39*5)</f>
        <v>706.25</v>
      </c>
      <c r="P48" s="7">
        <f>'Bene Spread 2023 II'!O25</f>
        <v>1559.2199999999998</v>
      </c>
      <c r="Q48" s="7">
        <f>'Bene Spread 2023 II'!P25</f>
        <v>1608.18</v>
      </c>
      <c r="R48" s="7">
        <f>43.86*9</f>
        <v>394.74</v>
      </c>
      <c r="S48" s="7">
        <f>(95.82*12)+(43.86*5)</f>
        <v>1369.1399999999999</v>
      </c>
      <c r="T48" s="7"/>
      <c r="U48" s="59">
        <f t="shared" si="3"/>
        <v>8444.57</v>
      </c>
      <c r="V48" s="70">
        <f t="shared" si="15"/>
        <v>12352.05</v>
      </c>
      <c r="W48" s="47">
        <f t="shared" si="16"/>
        <v>4886.369999999999</v>
      </c>
      <c r="X48" s="4"/>
      <c r="Y48" s="4" t="s">
        <v>164</v>
      </c>
      <c r="Z48" s="29"/>
      <c r="AA48" s="76"/>
    </row>
    <row r="49" spans="1:33" x14ac:dyDescent="0.2">
      <c r="A49" s="4" t="s">
        <v>41</v>
      </c>
      <c r="B49" s="7">
        <v>2995.2</v>
      </c>
      <c r="C49" s="47">
        <f>'Bene Spread 2023 II'!S11</f>
        <v>381.56105813867799</v>
      </c>
      <c r="D49" s="47"/>
      <c r="E49" s="47"/>
      <c r="F49" s="47">
        <f>'Bene Spread 2023 II'!T11</f>
        <v>597.63894186132188</v>
      </c>
      <c r="G49" s="59">
        <f t="shared" si="14"/>
        <v>979.19999999999982</v>
      </c>
      <c r="H49" s="47"/>
      <c r="I49" s="7">
        <f>(19.2*12)</f>
        <v>230.39999999999998</v>
      </c>
      <c r="J49" s="7">
        <f>(19.2*12)</f>
        <v>230.39999999999998</v>
      </c>
      <c r="K49" s="7">
        <f>(19.2*12)</f>
        <v>230.39999999999998</v>
      </c>
      <c r="L49" s="7">
        <f>(19.2*4)</f>
        <v>76.8</v>
      </c>
      <c r="M49" s="7">
        <f>(19.2*12)</f>
        <v>230.39999999999998</v>
      </c>
      <c r="N49" s="7">
        <f>(19.2*12)</f>
        <v>230.39999999999998</v>
      </c>
      <c r="O49" s="7">
        <f>19.2*5*2</f>
        <v>192</v>
      </c>
      <c r="P49" s="7">
        <f>'Bene Spread 2023 II'!S25</f>
        <v>430.07999999999993</v>
      </c>
      <c r="Q49" s="7">
        <f>'Bene Spread 2023 II'!T25</f>
        <v>779.52</v>
      </c>
      <c r="R49" s="7">
        <f>19.2*9</f>
        <v>172.79999999999998</v>
      </c>
      <c r="S49" s="7">
        <f>(19.2*12)+(19.2*5)</f>
        <v>326.39999999999998</v>
      </c>
      <c r="T49" s="7"/>
      <c r="U49" s="59">
        <f t="shared" si="3"/>
        <v>3129.6</v>
      </c>
      <c r="V49" s="70">
        <f t="shared" si="15"/>
        <v>4108.7999999999993</v>
      </c>
      <c r="W49" s="47">
        <f t="shared" si="16"/>
        <v>1113.5999999999995</v>
      </c>
      <c r="X49" s="4"/>
      <c r="Y49" s="4" t="s">
        <v>164</v>
      </c>
      <c r="Z49" s="29"/>
      <c r="AA49" s="75"/>
      <c r="AF49" s="85">
        <f>AF46/V44</f>
        <v>2.5425016532685474E-2</v>
      </c>
      <c r="AG49" s="79" t="s">
        <v>309</v>
      </c>
    </row>
    <row r="50" spans="1:33" x14ac:dyDescent="0.2">
      <c r="A50" s="4" t="s">
        <v>42</v>
      </c>
      <c r="B50" s="7">
        <v>6315.66</v>
      </c>
      <c r="C50" s="47">
        <f>0.009576*(C32+C33+C34+C35+C36+C37+600+1440)</f>
        <v>789.14595059999999</v>
      </c>
      <c r="D50" s="47"/>
      <c r="E50" s="47"/>
      <c r="F50" s="47">
        <f>0.009576*(F32+F33+F34+F35+F36+F37+F38+600+1440)</f>
        <v>1183.39115139</v>
      </c>
      <c r="G50" s="59">
        <f t="shared" si="14"/>
        <v>1972.5371019899999</v>
      </c>
      <c r="H50" s="47"/>
      <c r="I50" s="7">
        <f>(I44+2880)*0.009576</f>
        <v>499.6432413</v>
      </c>
      <c r="J50" s="7">
        <f>J44*0.009576</f>
        <v>742.2333492419998</v>
      </c>
      <c r="K50" s="7">
        <f>K44*0.009576</f>
        <v>332.35205080000003</v>
      </c>
      <c r="L50" s="7">
        <f>L44*0.009576</f>
        <v>91.830647999999982</v>
      </c>
      <c r="M50" s="7">
        <f>M44*0.009576</f>
        <v>497.33977958699995</v>
      </c>
      <c r="N50" s="7">
        <f>0.009576*N44</f>
        <v>400.82048750799999</v>
      </c>
      <c r="O50" s="7">
        <f>0.009576*O44</f>
        <v>552.17009877399994</v>
      </c>
      <c r="P50" s="7">
        <f>0.009576*P44</f>
        <v>1310.8788707629999</v>
      </c>
      <c r="Q50" s="7">
        <f>0.009576*Q44</f>
        <v>1682.9930957909999</v>
      </c>
      <c r="R50" s="7">
        <f>0.009576*(R44)</f>
        <v>165.323655</v>
      </c>
      <c r="S50" s="7">
        <f>(S44)*0.009576</f>
        <v>793.78419792</v>
      </c>
      <c r="T50" s="7"/>
      <c r="U50" s="59">
        <f t="shared" si="3"/>
        <v>7069.3694746849997</v>
      </c>
      <c r="V50" s="70">
        <f t="shared" si="15"/>
        <v>9041.9065766749991</v>
      </c>
      <c r="W50" s="47">
        <f t="shared" si="16"/>
        <v>2726.2465766749992</v>
      </c>
      <c r="X50" s="4"/>
      <c r="Y50" s="4" t="s">
        <v>164</v>
      </c>
      <c r="Z50" s="29"/>
      <c r="AF50" s="74">
        <v>3.5200000000000002E-2</v>
      </c>
      <c r="AG50" s="79" t="s">
        <v>310</v>
      </c>
    </row>
    <row r="51" spans="1:33" x14ac:dyDescent="0.2">
      <c r="A51" s="4" t="s">
        <v>1</v>
      </c>
      <c r="B51" s="7">
        <v>1379.56</v>
      </c>
      <c r="C51" s="47">
        <f>(C44+600+1440)*0.19/100</f>
        <v>156.57657750000001</v>
      </c>
      <c r="D51" s="47"/>
      <c r="E51" s="47"/>
      <c r="F51" s="47">
        <f t="shared" ref="F51" si="17">(F44+600+1440)*0.19/100</f>
        <v>268.61983162500002</v>
      </c>
      <c r="G51" s="59">
        <f t="shared" si="14"/>
        <v>425.19640912500006</v>
      </c>
      <c r="H51" s="47">
        <f t="shared" ref="H51:R51" si="18">H44*0.19/100</f>
        <v>15.431413666666668</v>
      </c>
      <c r="I51" s="7">
        <f>(I44+2880)*0.19/100</f>
        <v>99.135563750000003</v>
      </c>
      <c r="J51" s="7">
        <f t="shared" si="18"/>
        <v>147.26852167499999</v>
      </c>
      <c r="K51" s="7">
        <f t="shared" si="18"/>
        <v>65.942867222222233</v>
      </c>
      <c r="L51" s="7">
        <f t="shared" ref="L51" si="19">L44*0.19/100</f>
        <v>18.220366666666667</v>
      </c>
      <c r="M51" s="7">
        <f t="shared" si="18"/>
        <v>98.678527695833324</v>
      </c>
      <c r="N51" s="7">
        <f t="shared" si="18"/>
        <v>79.527874505555559</v>
      </c>
      <c r="O51" s="7">
        <f t="shared" si="18"/>
        <v>109.55755928055557</v>
      </c>
      <c r="P51" s="7">
        <f t="shared" si="18"/>
        <v>260.09501404027776</v>
      </c>
      <c r="Q51" s="7">
        <f t="shared" si="18"/>
        <v>333.92720154583333</v>
      </c>
      <c r="R51" s="7">
        <f t="shared" si="18"/>
        <v>32.802312499999999</v>
      </c>
      <c r="S51" s="7">
        <f>S44*0.19/100</f>
        <v>157.49686466666668</v>
      </c>
      <c r="T51" s="7"/>
      <c r="U51" s="59">
        <f t="shared" si="3"/>
        <v>1418.0840872152776</v>
      </c>
      <c r="V51" s="70">
        <f t="shared" si="15"/>
        <v>1843.2804963402778</v>
      </c>
      <c r="W51" s="47">
        <f t="shared" si="16"/>
        <v>463.7204963402778</v>
      </c>
      <c r="X51" s="4"/>
      <c r="Y51" s="4" t="s">
        <v>132</v>
      </c>
      <c r="Z51" s="29"/>
      <c r="AF51" s="74">
        <v>7.1800000000000003E-2</v>
      </c>
      <c r="AG51" s="79" t="s">
        <v>311</v>
      </c>
    </row>
    <row r="52" spans="1:33" x14ac:dyDescent="0.2">
      <c r="A52" s="12" t="s">
        <v>26</v>
      </c>
      <c r="B52" s="7">
        <v>175574.64</v>
      </c>
      <c r="C52" s="47">
        <f>25.065%*(600+1440+C32+C33+C34+C35+C36+C37)</f>
        <v>20655.746921250004</v>
      </c>
      <c r="D52" s="7"/>
      <c r="E52" s="7"/>
      <c r="F52" s="7">
        <f>25.065%*(600+1440+F32+F33+F34+F35+F36+F37+F38)</f>
        <v>30975.040945687506</v>
      </c>
      <c r="G52" s="59">
        <f t="shared" si="14"/>
        <v>51630.787866937506</v>
      </c>
      <c r="H52" s="47">
        <f>26.79%*(H44)</f>
        <v>2175.8293269999999</v>
      </c>
      <c r="I52" s="7">
        <f>(I44+2880)*25.06%</f>
        <v>13075.459092499999</v>
      </c>
      <c r="J52" s="7">
        <f>J44*25.065%</f>
        <v>19427.818398862499</v>
      </c>
      <c r="K52" s="7">
        <f>K44*25.065%</f>
        <v>8699.2524575000025</v>
      </c>
      <c r="L52" s="7">
        <f>L44*25.065%</f>
        <v>2403.6499500000004</v>
      </c>
      <c r="M52" s="7">
        <f>M44*25.05%</f>
        <v>13009.984835687501</v>
      </c>
      <c r="N52" s="7">
        <f>N44*25.065%</f>
        <v>10491.400918325002</v>
      </c>
      <c r="O52" s="7">
        <f>O44*23.34%</f>
        <v>13458.281229516666</v>
      </c>
      <c r="P52" s="7">
        <f>P44*25.065%</f>
        <v>34312.00803641876</v>
      </c>
      <c r="Q52" s="7">
        <f>((Q20+Q22+Q24+Q25)*25.065%)+((Q26+Q27+Q28+Q29+Q30)*23.34%)</f>
        <v>38807.087211875005</v>
      </c>
      <c r="R52" s="7">
        <f>R44*25.065%</f>
        <v>4327.3155937500005</v>
      </c>
      <c r="S52" s="7">
        <f>(S9+S11+S13*25.065%)+(S10+S14+S18+S19+S20)*23.34%</f>
        <v>20227.640427999999</v>
      </c>
      <c r="T52" s="7"/>
      <c r="U52" s="59">
        <f t="shared" si="3"/>
        <v>180415.72747943545</v>
      </c>
      <c r="V52" s="70">
        <f t="shared" si="15"/>
        <v>232046.51534637297</v>
      </c>
      <c r="W52" s="47">
        <f t="shared" si="16"/>
        <v>56471.875346372952</v>
      </c>
      <c r="X52" s="4"/>
      <c r="Y52" s="4" t="s">
        <v>283</v>
      </c>
      <c r="Z52" s="29"/>
      <c r="AA52" s="74"/>
    </row>
    <row r="53" spans="1:33" x14ac:dyDescent="0.2">
      <c r="A53" s="4" t="s">
        <v>113</v>
      </c>
      <c r="B53" s="7">
        <v>55545.58</v>
      </c>
      <c r="C53" s="47">
        <f>(C44+600+1440)*7.65%</f>
        <v>6304.2674625</v>
      </c>
      <c r="D53" s="7"/>
      <c r="E53" s="7"/>
      <c r="F53" s="7">
        <f>(F44+1200+1440)*7.65%</f>
        <v>10861.382694375001</v>
      </c>
      <c r="G53" s="59">
        <f t="shared" si="14"/>
        <v>17165.650156875003</v>
      </c>
      <c r="H53" s="47">
        <f t="shared" ref="H53:S53" si="20">H44*7.65%</f>
        <v>621.31744500000002</v>
      </c>
      <c r="I53" s="7">
        <f>(I44+2880)*7.65%</f>
        <v>3991.51085625</v>
      </c>
      <c r="J53" s="7">
        <f t="shared" si="20"/>
        <v>5929.4957411249989</v>
      </c>
      <c r="K53" s="7">
        <f t="shared" si="20"/>
        <v>2655.0680750000006</v>
      </c>
      <c r="L53" s="7">
        <f t="shared" ref="L53" si="21">L44*7.65%</f>
        <v>733.60949999999991</v>
      </c>
      <c r="M53" s="7">
        <f t="shared" si="20"/>
        <v>3973.1091414375001</v>
      </c>
      <c r="N53" s="7">
        <f t="shared" si="20"/>
        <v>3202.0433682500002</v>
      </c>
      <c r="O53" s="7">
        <f t="shared" si="20"/>
        <v>4411.1333078750004</v>
      </c>
      <c r="P53" s="7">
        <f t="shared" si="20"/>
        <v>10472.246617937501</v>
      </c>
      <c r="Q53" s="7">
        <f t="shared" si="20"/>
        <v>13444.9636411875</v>
      </c>
      <c r="R53" s="7">
        <f t="shared" si="20"/>
        <v>1320.7246875000001</v>
      </c>
      <c r="S53" s="7">
        <f t="shared" si="20"/>
        <v>6341.3211300000003</v>
      </c>
      <c r="T53" s="7"/>
      <c r="U53" s="59">
        <f t="shared" si="3"/>
        <v>57096.5435115625</v>
      </c>
      <c r="V53" s="70">
        <f t="shared" si="15"/>
        <v>74262.19366843751</v>
      </c>
      <c r="W53" s="47">
        <f t="shared" si="16"/>
        <v>18716.613668437509</v>
      </c>
      <c r="X53" s="4"/>
      <c r="Y53" s="4" t="s">
        <v>105</v>
      </c>
      <c r="Z53" s="29"/>
    </row>
    <row r="54" spans="1:33" x14ac:dyDescent="0.2">
      <c r="A54" s="4" t="s">
        <v>2</v>
      </c>
      <c r="B54" s="7">
        <v>2457</v>
      </c>
      <c r="C54" s="47">
        <f>'Bene Spread 2023 II'!W11</f>
        <v>89.279996684105811</v>
      </c>
      <c r="D54" s="7"/>
      <c r="E54" s="7"/>
      <c r="F54" s="7">
        <f>'Bene Spread 2023 II'!X11</f>
        <v>177.12000331589422</v>
      </c>
      <c r="G54" s="59">
        <f t="shared" si="14"/>
        <v>266.40000000000003</v>
      </c>
      <c r="H54" s="47">
        <f>H44*0.003</f>
        <v>24.365390000000001</v>
      </c>
      <c r="I54" s="7">
        <f t="shared" ref="I54:N54" si="22">11100*0.003</f>
        <v>33.299999999999997</v>
      </c>
      <c r="J54" s="7">
        <f t="shared" si="22"/>
        <v>33.299999999999997</v>
      </c>
      <c r="K54" s="7">
        <f t="shared" si="22"/>
        <v>33.299999999999997</v>
      </c>
      <c r="L54" s="7">
        <f t="shared" si="22"/>
        <v>33.299999999999997</v>
      </c>
      <c r="M54" s="7">
        <f t="shared" si="22"/>
        <v>33.299999999999997</v>
      </c>
      <c r="N54" s="7">
        <f t="shared" si="22"/>
        <v>33.299999999999997</v>
      </c>
      <c r="O54" s="7">
        <f>11100*0.003*2</f>
        <v>66.599999999999994</v>
      </c>
      <c r="P54" s="7">
        <f>'Bene Spread 2023 II'!W25</f>
        <v>89.91</v>
      </c>
      <c r="Q54" s="7">
        <f>'Bene Spread 2023 II'!X25</f>
        <v>209.79000000000002</v>
      </c>
      <c r="R54" s="7">
        <f>33.3</f>
        <v>33.299999999999997</v>
      </c>
      <c r="S54" s="7">
        <f>33.3*2</f>
        <v>66.599999999999994</v>
      </c>
      <c r="T54" s="7"/>
      <c r="U54" s="59">
        <f t="shared" si="3"/>
        <v>690.36539000000005</v>
      </c>
      <c r="V54" s="70">
        <f t="shared" si="15"/>
        <v>956.76539000000002</v>
      </c>
      <c r="W54" s="47">
        <f t="shared" si="16"/>
        <v>-1500.23461</v>
      </c>
      <c r="X54" s="4"/>
      <c r="Y54" s="4" t="s">
        <v>165</v>
      </c>
      <c r="Z54" s="29"/>
    </row>
    <row r="55" spans="1:33" x14ac:dyDescent="0.2">
      <c r="A55" s="9" t="s">
        <v>23</v>
      </c>
      <c r="B55" s="7">
        <f>SUM(B47:B54)</f>
        <v>358662.28</v>
      </c>
      <c r="C55" s="47">
        <f>SUM(C47:C54)</f>
        <v>43371.166129225283</v>
      </c>
      <c r="D55" s="7"/>
      <c r="E55" s="7"/>
      <c r="F55" s="7">
        <f>SUM(F47:F54)</f>
        <v>66650.465405702227</v>
      </c>
      <c r="G55" s="59">
        <f t="shared" si="14"/>
        <v>110021.63153492751</v>
      </c>
      <c r="H55" s="47">
        <f t="shared" ref="H55:T55" si="23">SUM(H47:H54)</f>
        <v>2836.9435756666667</v>
      </c>
      <c r="I55" s="7">
        <f t="shared" si="23"/>
        <v>21431.768753799995</v>
      </c>
      <c r="J55" s="7">
        <f t="shared" si="23"/>
        <v>36889.0760109045</v>
      </c>
      <c r="K55" s="7">
        <f t="shared" si="23"/>
        <v>22642.315450522223</v>
      </c>
      <c r="L55" s="7">
        <f t="shared" ref="L55" si="24">SUM(L47:L54)</f>
        <v>6899.4104646666674</v>
      </c>
      <c r="M55" s="7">
        <f t="shared" si="23"/>
        <v>28468.812284407832</v>
      </c>
      <c r="N55" s="7">
        <f t="shared" si="23"/>
        <v>25063.492648588555</v>
      </c>
      <c r="O55" s="7">
        <f t="shared" si="23"/>
        <v>24961.752195446217</v>
      </c>
      <c r="P55" s="7">
        <f t="shared" si="23"/>
        <v>72118.560539159545</v>
      </c>
      <c r="Q55" s="7">
        <f t="shared" ref="Q55" si="25">SUM(Q47:Q54)</f>
        <v>91085.339150399333</v>
      </c>
      <c r="R55" s="7">
        <f t="shared" si="23"/>
        <v>13180.126248750001</v>
      </c>
      <c r="S55" s="7">
        <f>SUM(S46:S54)</f>
        <v>48648.342620586664</v>
      </c>
      <c r="T55" s="7">
        <f t="shared" si="23"/>
        <v>0</v>
      </c>
      <c r="U55" s="59">
        <f>SUM(U47:U54)</f>
        <v>394225.93994289823</v>
      </c>
      <c r="V55" s="70">
        <f>SUM(V47:V54)</f>
        <v>504247.57147782581</v>
      </c>
      <c r="W55" s="47">
        <f>SUM(W47:W54)</f>
        <v>145585.2914778257</v>
      </c>
      <c r="X55" s="4"/>
      <c r="Y55" s="40">
        <f>W55/B55</f>
        <v>0.40591191099835111</v>
      </c>
      <c r="Z55" s="29"/>
    </row>
    <row r="56" spans="1:33" x14ac:dyDescent="0.2">
      <c r="A56" s="1" t="s">
        <v>22</v>
      </c>
      <c r="B56" s="8">
        <f t="shared" ref="B56:V56" si="26">B44+B55</f>
        <v>1121827.92</v>
      </c>
      <c r="C56" s="48">
        <f t="shared" si="26"/>
        <v>123739.89112922529</v>
      </c>
      <c r="D56" s="8"/>
      <c r="E56" s="8"/>
      <c r="F56" s="8">
        <f t="shared" si="26"/>
        <v>205989.32415570226</v>
      </c>
      <c r="G56" s="60">
        <f t="shared" si="26"/>
        <v>329729.21528492752</v>
      </c>
      <c r="H56" s="54">
        <f t="shared" si="26"/>
        <v>10958.740242333333</v>
      </c>
      <c r="I56" s="128">
        <f t="shared" si="26"/>
        <v>70728.381253800006</v>
      </c>
      <c r="J56" s="128">
        <f t="shared" si="26"/>
        <v>114398.82426090448</v>
      </c>
      <c r="K56" s="128">
        <f t="shared" si="26"/>
        <v>57349.087672744456</v>
      </c>
      <c r="L56" s="128">
        <f t="shared" ref="L56" si="27">L44+L55</f>
        <v>16489.077131333332</v>
      </c>
      <c r="M56" s="128">
        <f t="shared" si="26"/>
        <v>80404.879492741165</v>
      </c>
      <c r="N56" s="128">
        <f t="shared" si="26"/>
        <v>66920.26870414411</v>
      </c>
      <c r="O56" s="128">
        <f t="shared" si="26"/>
        <v>82623.625501001778</v>
      </c>
      <c r="P56" s="128">
        <f t="shared" si="26"/>
        <v>209010.67319193733</v>
      </c>
      <c r="Q56" s="128">
        <f t="shared" ref="Q56" si="28">Q44+Q55</f>
        <v>266836.49785873265</v>
      </c>
      <c r="R56" s="128">
        <f t="shared" si="26"/>
        <v>30444.501248749999</v>
      </c>
      <c r="S56" s="128">
        <f t="shared" si="26"/>
        <v>131541.42928725333</v>
      </c>
      <c r="T56" s="128">
        <f t="shared" si="26"/>
        <v>0</v>
      </c>
      <c r="U56" s="48">
        <f>U55+U44</f>
        <v>1137705.9858456757</v>
      </c>
      <c r="V56" s="71">
        <f t="shared" si="26"/>
        <v>1467435.2011306034</v>
      </c>
      <c r="W56" s="48">
        <f>V56-B56</f>
        <v>345607.28113060351</v>
      </c>
      <c r="X56" s="4"/>
      <c r="Y56" s="40">
        <f>W56/B56</f>
        <v>0.30807512896505868</v>
      </c>
      <c r="Z56" s="29"/>
    </row>
    <row r="57" spans="1:33" x14ac:dyDescent="0.2">
      <c r="A57" s="4"/>
      <c r="B57" s="7"/>
      <c r="C57" s="47"/>
      <c r="D57" s="7"/>
      <c r="E57" s="7"/>
      <c r="F57" s="7"/>
      <c r="G57" s="59"/>
      <c r="H57" s="4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59"/>
      <c r="V57" s="70"/>
      <c r="W57" s="47"/>
      <c r="X57" s="4"/>
      <c r="Y57" s="4"/>
    </row>
    <row r="58" spans="1:33" x14ac:dyDescent="0.2">
      <c r="A58" s="1" t="s">
        <v>3</v>
      </c>
      <c r="B58" s="30" t="s">
        <v>25</v>
      </c>
      <c r="C58" s="49" t="s">
        <v>110</v>
      </c>
      <c r="D58" s="30" t="s">
        <v>146</v>
      </c>
      <c r="E58" s="30"/>
      <c r="F58" s="30" t="s">
        <v>57</v>
      </c>
      <c r="G58" s="61" t="s">
        <v>24</v>
      </c>
      <c r="H58" s="49" t="s">
        <v>54</v>
      </c>
      <c r="I58" s="30" t="s">
        <v>60</v>
      </c>
      <c r="J58" s="30" t="s">
        <v>29</v>
      </c>
      <c r="K58" s="30" t="s">
        <v>160</v>
      </c>
      <c r="L58" s="30" t="s">
        <v>288</v>
      </c>
      <c r="M58" s="30" t="s">
        <v>56</v>
      </c>
      <c r="N58" s="30" t="s">
        <v>69</v>
      </c>
      <c r="O58" s="30" t="s">
        <v>284</v>
      </c>
      <c r="P58" s="30" t="s">
        <v>249</v>
      </c>
      <c r="Q58" s="30" t="s">
        <v>250</v>
      </c>
      <c r="R58" s="30" t="s">
        <v>170</v>
      </c>
      <c r="S58" s="30" t="s">
        <v>122</v>
      </c>
      <c r="T58" s="30" t="s">
        <v>64</v>
      </c>
      <c r="U58" s="61" t="s">
        <v>30</v>
      </c>
      <c r="V58" s="72" t="s">
        <v>25</v>
      </c>
      <c r="W58" s="49" t="s">
        <v>66</v>
      </c>
      <c r="X58" s="4"/>
      <c r="Y58" s="4"/>
    </row>
    <row r="59" spans="1:33" x14ac:dyDescent="0.2">
      <c r="A59" s="4" t="s">
        <v>4</v>
      </c>
      <c r="B59" s="7">
        <v>4500</v>
      </c>
      <c r="C59" s="47"/>
      <c r="D59" s="7"/>
      <c r="E59" s="7"/>
      <c r="F59" s="7">
        <v>1200</v>
      </c>
      <c r="G59" s="59">
        <f>C59+D59+F59</f>
        <v>1200</v>
      </c>
      <c r="H59" s="47"/>
      <c r="I59" s="7"/>
      <c r="J59" s="7"/>
      <c r="K59" s="7"/>
      <c r="L59" s="7">
        <v>1200</v>
      </c>
      <c r="M59" s="7"/>
      <c r="N59" s="7"/>
      <c r="O59" s="7">
        <v>5600</v>
      </c>
      <c r="P59" s="7">
        <f>800</f>
        <v>800</v>
      </c>
      <c r="Q59" s="7">
        <v>7200</v>
      </c>
      <c r="R59" s="7">
        <v>800</v>
      </c>
      <c r="S59" s="7">
        <v>1200</v>
      </c>
      <c r="T59" s="7">
        <v>600</v>
      </c>
      <c r="U59" s="59">
        <f>H59+I59+J59+K59+L59+M59+N59+O59+P59+Q59+R59+S59+T59</f>
        <v>17400</v>
      </c>
      <c r="V59" s="70">
        <f t="shared" ref="V59:V81" si="29">G59+U59</f>
        <v>18600</v>
      </c>
      <c r="W59" s="47">
        <f t="shared" ref="W59:W80" si="30">V59-B59</f>
        <v>14100</v>
      </c>
      <c r="X59" s="4"/>
      <c r="Y59" s="4" t="s">
        <v>133</v>
      </c>
    </row>
    <row r="60" spans="1:33" x14ac:dyDescent="0.2">
      <c r="A60" s="4" t="s">
        <v>169</v>
      </c>
      <c r="B60" s="7">
        <v>21180</v>
      </c>
      <c r="C60" s="47">
        <v>640</v>
      </c>
      <c r="D60" s="7"/>
      <c r="E60" s="7"/>
      <c r="F60" s="7">
        <v>9050</v>
      </c>
      <c r="G60" s="59">
        <f>C60+D60+F60</f>
        <v>9690</v>
      </c>
      <c r="H60" s="47">
        <v>3000</v>
      </c>
      <c r="I60" s="7"/>
      <c r="J60" s="7"/>
      <c r="K60" s="7"/>
      <c r="L60" s="7"/>
      <c r="M60" s="7">
        <v>256</v>
      </c>
      <c r="N60" s="7"/>
      <c r="O60" s="7"/>
      <c r="P60" s="7"/>
      <c r="Q60" s="7">
        <v>4050</v>
      </c>
      <c r="R60" s="7"/>
      <c r="S60" s="7">
        <v>420</v>
      </c>
      <c r="T60" s="7">
        <v>15000</v>
      </c>
      <c r="U60" s="59">
        <f t="shared" ref="U60:U81" si="31">H60+I60+J60+K60+L60+M60+N60+O60+P60+Q60+R60+S60+T60</f>
        <v>22726</v>
      </c>
      <c r="V60" s="70">
        <f t="shared" si="29"/>
        <v>32416</v>
      </c>
      <c r="W60" s="47">
        <f t="shared" si="30"/>
        <v>11236</v>
      </c>
      <c r="X60" s="4"/>
      <c r="Y60" s="4" t="s">
        <v>218</v>
      </c>
    </row>
    <row r="61" spans="1:33" x14ac:dyDescent="0.2">
      <c r="A61" s="4" t="s">
        <v>174</v>
      </c>
      <c r="B61" s="7">
        <v>6000</v>
      </c>
      <c r="C61" s="47"/>
      <c r="D61" s="7"/>
      <c r="E61" s="7"/>
      <c r="F61" s="7">
        <v>4500</v>
      </c>
      <c r="G61" s="59">
        <f>C61+D61+F61</f>
        <v>4500</v>
      </c>
      <c r="H61" s="4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1200</v>
      </c>
      <c r="U61" s="59">
        <f t="shared" si="31"/>
        <v>1200</v>
      </c>
      <c r="V61" s="70">
        <f t="shared" si="29"/>
        <v>5700</v>
      </c>
      <c r="W61" s="47">
        <f t="shared" si="30"/>
        <v>-300</v>
      </c>
      <c r="X61" s="4"/>
      <c r="Y61" s="4" t="s">
        <v>134</v>
      </c>
    </row>
    <row r="62" spans="1:33" x14ac:dyDescent="0.2">
      <c r="A62" s="4" t="s">
        <v>171</v>
      </c>
      <c r="B62" s="7">
        <v>10000</v>
      </c>
      <c r="C62" s="47"/>
      <c r="D62" s="7"/>
      <c r="E62" s="7"/>
      <c r="F62" s="7"/>
      <c r="G62" s="59"/>
      <c r="H62" s="47"/>
      <c r="I62" s="7"/>
      <c r="J62" s="7"/>
      <c r="K62" s="7"/>
      <c r="L62" s="7"/>
      <c r="M62" s="7"/>
      <c r="N62" s="7"/>
      <c r="O62" s="7">
        <v>3750</v>
      </c>
      <c r="P62" s="7"/>
      <c r="Q62" s="7">
        <v>6750</v>
      </c>
      <c r="R62" s="7"/>
      <c r="S62" s="7">
        <v>3000</v>
      </c>
      <c r="T62" s="7">
        <f>3775*12-Q62</f>
        <v>38550</v>
      </c>
      <c r="U62" s="59">
        <f t="shared" si="31"/>
        <v>52050</v>
      </c>
      <c r="V62" s="70">
        <f t="shared" si="29"/>
        <v>52050</v>
      </c>
      <c r="W62" s="47">
        <f t="shared" si="30"/>
        <v>42050</v>
      </c>
      <c r="X62" s="4"/>
      <c r="Y62" s="4" t="s">
        <v>172</v>
      </c>
    </row>
    <row r="63" spans="1:33" x14ac:dyDescent="0.2">
      <c r="A63" s="4" t="s">
        <v>37</v>
      </c>
      <c r="B63" s="7">
        <v>4570</v>
      </c>
      <c r="C63" s="47">
        <f>1500*0.4+(300*3*0.4)+(125*3*0.4)</f>
        <v>1110</v>
      </c>
      <c r="D63" s="47"/>
      <c r="E63" s="47"/>
      <c r="F63" s="47">
        <f>1500*0.6+(300*3*0.6)+(125*3*0.6)+75</f>
        <v>1740</v>
      </c>
      <c r="G63" s="59">
        <f t="shared" ref="G63:G71" si="32">C63+D63+F63</f>
        <v>2850</v>
      </c>
      <c r="H63" s="47"/>
      <c r="I63" s="7">
        <v>360</v>
      </c>
      <c r="J63" s="7"/>
      <c r="K63" s="7"/>
      <c r="L63" s="7"/>
      <c r="M63" s="7">
        <f>125+360</f>
        <v>485</v>
      </c>
      <c r="N63" s="7">
        <v>125</v>
      </c>
      <c r="O63" s="7"/>
      <c r="P63" s="7"/>
      <c r="Q63" s="7"/>
      <c r="R63" s="7"/>
      <c r="S63" s="7"/>
      <c r="T63" s="7">
        <f>300+350+500+125+125</f>
        <v>1400</v>
      </c>
      <c r="U63" s="59">
        <f t="shared" si="31"/>
        <v>2370</v>
      </c>
      <c r="V63" s="70">
        <f t="shared" si="29"/>
        <v>5220</v>
      </c>
      <c r="W63" s="47">
        <f t="shared" si="30"/>
        <v>650</v>
      </c>
      <c r="X63" s="4"/>
      <c r="Y63" s="4" t="s">
        <v>89</v>
      </c>
    </row>
    <row r="64" spans="1:33" x14ac:dyDescent="0.2">
      <c r="A64" s="4" t="s">
        <v>5</v>
      </c>
      <c r="B64" s="7">
        <v>3812.68</v>
      </c>
      <c r="C64" s="47">
        <f>3600*0.4</f>
        <v>1440</v>
      </c>
      <c r="D64" s="47"/>
      <c r="E64" s="47"/>
      <c r="F64" s="47">
        <f>3600*0.6</f>
        <v>2160</v>
      </c>
      <c r="G64" s="59">
        <f t="shared" si="32"/>
        <v>3600</v>
      </c>
      <c r="H64" s="4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240</v>
      </c>
      <c r="T64" s="7">
        <f>(135*4)+(99*12)</f>
        <v>1728</v>
      </c>
      <c r="U64" s="59">
        <f t="shared" si="31"/>
        <v>1968</v>
      </c>
      <c r="V64" s="70">
        <f t="shared" si="29"/>
        <v>5568</v>
      </c>
      <c r="W64" s="47">
        <f t="shared" si="30"/>
        <v>1755.3200000000002</v>
      </c>
      <c r="X64" s="4"/>
      <c r="Y64" s="4" t="s">
        <v>173</v>
      </c>
    </row>
    <row r="65" spans="1:26" x14ac:dyDescent="0.2">
      <c r="A65" s="4" t="s">
        <v>6</v>
      </c>
      <c r="B65" s="7">
        <v>7140</v>
      </c>
      <c r="C65" s="47">
        <f>780*1.8</f>
        <v>1404</v>
      </c>
      <c r="D65" s="7"/>
      <c r="E65" s="7"/>
      <c r="F65" s="7">
        <f>780*1.2</f>
        <v>936</v>
      </c>
      <c r="G65" s="59">
        <f t="shared" si="32"/>
        <v>2340</v>
      </c>
      <c r="H65" s="47">
        <v>780</v>
      </c>
      <c r="I65" s="7">
        <v>780</v>
      </c>
      <c r="J65" s="7"/>
      <c r="K65" s="7"/>
      <c r="L65" s="7"/>
      <c r="M65" s="7">
        <v>780</v>
      </c>
      <c r="N65" s="7"/>
      <c r="O65" s="7"/>
      <c r="P65" s="7">
        <v>780</v>
      </c>
      <c r="Q65" s="7"/>
      <c r="R65" s="7"/>
      <c r="S65" s="7"/>
      <c r="T65" s="7">
        <v>1800</v>
      </c>
      <c r="U65" s="59">
        <f t="shared" si="31"/>
        <v>4920</v>
      </c>
      <c r="V65" s="70">
        <f t="shared" si="29"/>
        <v>7260</v>
      </c>
      <c r="W65" s="47">
        <f t="shared" si="30"/>
        <v>120</v>
      </c>
      <c r="X65" s="4"/>
      <c r="Y65" s="4" t="s">
        <v>130</v>
      </c>
    </row>
    <row r="66" spans="1:26" x14ac:dyDescent="0.2">
      <c r="A66" s="4" t="s">
        <v>7</v>
      </c>
      <c r="B66" s="7">
        <v>2380</v>
      </c>
      <c r="C66" s="47"/>
      <c r="D66" s="7"/>
      <c r="E66" s="7"/>
      <c r="F66" s="7">
        <v>600</v>
      </c>
      <c r="G66" s="59">
        <f t="shared" si="32"/>
        <v>600</v>
      </c>
      <c r="H66" s="47"/>
      <c r="I66" s="7"/>
      <c r="J66" s="7"/>
      <c r="K66" s="7"/>
      <c r="L66" s="7"/>
      <c r="M66" s="7">
        <v>240</v>
      </c>
      <c r="N66" s="7"/>
      <c r="O66" s="7"/>
      <c r="P66" s="7"/>
      <c r="Q66" s="7"/>
      <c r="R66" s="7"/>
      <c r="S66" s="7"/>
      <c r="T66" s="7">
        <f>1200+800-M66</f>
        <v>1760</v>
      </c>
      <c r="U66" s="59">
        <f t="shared" si="31"/>
        <v>2000</v>
      </c>
      <c r="V66" s="70">
        <f t="shared" si="29"/>
        <v>2600</v>
      </c>
      <c r="W66" s="47">
        <f t="shared" si="30"/>
        <v>220</v>
      </c>
      <c r="X66" s="4"/>
      <c r="Y66" s="4" t="s">
        <v>90</v>
      </c>
    </row>
    <row r="67" spans="1:26" x14ac:dyDescent="0.2">
      <c r="A67" s="4" t="s">
        <v>44</v>
      </c>
      <c r="B67" s="7">
        <v>4920</v>
      </c>
      <c r="C67" s="47"/>
      <c r="D67" s="7"/>
      <c r="E67" s="7"/>
      <c r="F67" s="7">
        <v>1200</v>
      </c>
      <c r="G67" s="59">
        <f t="shared" si="32"/>
        <v>1200</v>
      </c>
      <c r="H67" s="47">
        <v>240</v>
      </c>
      <c r="I67" s="7">
        <f>240+1500</f>
        <v>1740</v>
      </c>
      <c r="J67" s="7"/>
      <c r="K67" s="7"/>
      <c r="L67" s="7"/>
      <c r="M67" s="7">
        <f>240+300</f>
        <v>540</v>
      </c>
      <c r="N67" s="7"/>
      <c r="O67" s="7">
        <f>1440/12*10</f>
        <v>1200</v>
      </c>
      <c r="P67" s="7"/>
      <c r="Q67" s="7"/>
      <c r="R67" s="7"/>
      <c r="S67" s="7">
        <v>1080</v>
      </c>
      <c r="T67" s="7">
        <v>1200</v>
      </c>
      <c r="U67" s="59">
        <f t="shared" si="31"/>
        <v>6000</v>
      </c>
      <c r="V67" s="70">
        <f t="shared" si="29"/>
        <v>7200</v>
      </c>
      <c r="W67" s="47">
        <f t="shared" si="30"/>
        <v>2280</v>
      </c>
      <c r="X67" s="4"/>
      <c r="Y67" s="4" t="s">
        <v>300</v>
      </c>
    </row>
    <row r="68" spans="1:26" x14ac:dyDescent="0.2">
      <c r="A68" s="4" t="s">
        <v>36</v>
      </c>
      <c r="B68" s="7">
        <v>1680</v>
      </c>
      <c r="C68" s="47"/>
      <c r="D68" s="7"/>
      <c r="E68" s="7"/>
      <c r="F68" s="7">
        <v>480</v>
      </c>
      <c r="G68" s="59">
        <f t="shared" si="32"/>
        <v>480</v>
      </c>
      <c r="H68" s="4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1200</v>
      </c>
      <c r="U68" s="59">
        <f t="shared" si="31"/>
        <v>1200</v>
      </c>
      <c r="V68" s="70">
        <f t="shared" si="29"/>
        <v>1680</v>
      </c>
      <c r="W68" s="47">
        <f t="shared" si="30"/>
        <v>0</v>
      </c>
      <c r="X68" s="4"/>
      <c r="Y68" s="4" t="s">
        <v>135</v>
      </c>
    </row>
    <row r="69" spans="1:26" x14ac:dyDescent="0.2">
      <c r="A69" s="4" t="s">
        <v>45</v>
      </c>
      <c r="B69" s="7">
        <v>6603.9</v>
      </c>
      <c r="C69" s="47">
        <f>3360*0.4+484*0.4</f>
        <v>1537.6</v>
      </c>
      <c r="D69" s="7"/>
      <c r="E69" s="7"/>
      <c r="F69" s="37">
        <f>3360*0.6+484*0.6</f>
        <v>2306.4</v>
      </c>
      <c r="G69" s="59">
        <v>3360</v>
      </c>
      <c r="H69" s="53">
        <f>36*12</f>
        <v>432</v>
      </c>
      <c r="I69" s="37">
        <v>432</v>
      </c>
      <c r="J69" s="37">
        <v>432</v>
      </c>
      <c r="K69" s="37"/>
      <c r="L69" s="37"/>
      <c r="M69" s="37">
        <v>432</v>
      </c>
      <c r="N69" s="37">
        <v>432</v>
      </c>
      <c r="O69" s="37"/>
      <c r="P69" s="37">
        <f>432*3</f>
        <v>1296</v>
      </c>
      <c r="Q69" s="37">
        <v>1980</v>
      </c>
      <c r="R69" s="37"/>
      <c r="S69" s="37">
        <f>432</f>
        <v>432</v>
      </c>
      <c r="T69" s="83">
        <f>260+260</f>
        <v>520</v>
      </c>
      <c r="U69" s="59">
        <f t="shared" si="31"/>
        <v>6388</v>
      </c>
      <c r="V69" s="70">
        <f t="shared" si="29"/>
        <v>9748</v>
      </c>
      <c r="W69" s="47">
        <f t="shared" si="30"/>
        <v>3144.1000000000004</v>
      </c>
      <c r="X69" s="4"/>
      <c r="Y69" s="4" t="s">
        <v>136</v>
      </c>
    </row>
    <row r="70" spans="1:26" x14ac:dyDescent="0.2">
      <c r="A70" t="s">
        <v>8</v>
      </c>
      <c r="B70" s="7">
        <v>9810</v>
      </c>
      <c r="C70" s="47">
        <f>4800*0.4</f>
        <v>1920</v>
      </c>
      <c r="D70" s="7"/>
      <c r="E70" s="7"/>
      <c r="F70" s="7">
        <f>4800*0.6</f>
        <v>2880</v>
      </c>
      <c r="G70" s="59">
        <f t="shared" si="32"/>
        <v>4800</v>
      </c>
      <c r="H70" s="47">
        <v>240</v>
      </c>
      <c r="I70" s="7"/>
      <c r="J70" s="7"/>
      <c r="K70" s="7"/>
      <c r="L70" s="7"/>
      <c r="M70" s="7">
        <v>240</v>
      </c>
      <c r="N70" s="7">
        <v>240</v>
      </c>
      <c r="O70" s="7"/>
      <c r="P70" s="7">
        <v>480</v>
      </c>
      <c r="Q70" s="7">
        <v>540</v>
      </c>
      <c r="R70" s="7">
        <v>240</v>
      </c>
      <c r="S70" s="7">
        <v>480</v>
      </c>
      <c r="T70" s="7">
        <v>3600</v>
      </c>
      <c r="U70" s="59">
        <f t="shared" si="31"/>
        <v>6060</v>
      </c>
      <c r="V70" s="70">
        <f t="shared" si="29"/>
        <v>10860</v>
      </c>
      <c r="W70" s="47">
        <f t="shared" si="30"/>
        <v>1050</v>
      </c>
      <c r="X70" s="4"/>
      <c r="Y70" s="4" t="s">
        <v>79</v>
      </c>
    </row>
    <row r="71" spans="1:26" x14ac:dyDescent="0.2">
      <c r="A71" t="s">
        <v>43</v>
      </c>
      <c r="B71" s="7">
        <v>4260</v>
      </c>
      <c r="C71" s="47">
        <v>1560</v>
      </c>
      <c r="D71" s="7"/>
      <c r="E71" s="7"/>
      <c r="F71" s="7">
        <f>3900-C71</f>
        <v>2340</v>
      </c>
      <c r="G71" s="59">
        <f t="shared" si="32"/>
        <v>3900</v>
      </c>
      <c r="H71" s="47"/>
      <c r="I71" s="7"/>
      <c r="J71" s="7"/>
      <c r="K71" s="7"/>
      <c r="L71" s="7"/>
      <c r="M71" s="7">
        <v>60</v>
      </c>
      <c r="N71" s="7">
        <v>60</v>
      </c>
      <c r="O71" s="7"/>
      <c r="P71" s="7">
        <v>240</v>
      </c>
      <c r="Q71" s="7"/>
      <c r="R71" s="7"/>
      <c r="S71" s="7">
        <v>240</v>
      </c>
      <c r="T71" s="7">
        <v>60</v>
      </c>
      <c r="U71" s="59">
        <f t="shared" si="31"/>
        <v>660</v>
      </c>
      <c r="V71" s="70">
        <f t="shared" si="29"/>
        <v>4560</v>
      </c>
      <c r="W71" s="47">
        <f t="shared" si="30"/>
        <v>300</v>
      </c>
      <c r="X71" s="4"/>
      <c r="Y71" s="4" t="s">
        <v>79</v>
      </c>
    </row>
    <row r="72" spans="1:26" x14ac:dyDescent="0.2">
      <c r="A72" s="21" t="s">
        <v>33</v>
      </c>
      <c r="B72" s="7">
        <v>6216</v>
      </c>
      <c r="C72" s="47">
        <f>G72*0.4</f>
        <v>1000</v>
      </c>
      <c r="D72" s="7"/>
      <c r="E72" s="7"/>
      <c r="F72" s="7">
        <f>G72*0.6</f>
        <v>1500</v>
      </c>
      <c r="G72" s="59">
        <v>2500</v>
      </c>
      <c r="H72" s="47"/>
      <c r="I72" s="7"/>
      <c r="J72" s="7"/>
      <c r="K72" s="7"/>
      <c r="L72" s="7"/>
      <c r="M72" s="7">
        <v>240</v>
      </c>
      <c r="N72" s="7">
        <v>240</v>
      </c>
      <c r="O72" s="7"/>
      <c r="P72" s="7">
        <v>480</v>
      </c>
      <c r="Q72" s="7">
        <v>4320</v>
      </c>
      <c r="R72" s="7"/>
      <c r="S72" s="7">
        <f>240+1100</f>
        <v>1340</v>
      </c>
      <c r="T72" s="7">
        <v>1200</v>
      </c>
      <c r="U72" s="59">
        <f t="shared" si="31"/>
        <v>7820</v>
      </c>
      <c r="V72" s="70">
        <f t="shared" si="29"/>
        <v>10320</v>
      </c>
      <c r="W72" s="47">
        <f t="shared" si="30"/>
        <v>4104</v>
      </c>
      <c r="X72" s="4"/>
      <c r="Y72" s="4" t="s">
        <v>79</v>
      </c>
    </row>
    <row r="73" spans="1:26" x14ac:dyDescent="0.2">
      <c r="A73" s="4" t="s">
        <v>9</v>
      </c>
      <c r="B73" s="7">
        <v>4875</v>
      </c>
      <c r="C73" s="47"/>
      <c r="D73" s="7"/>
      <c r="E73" s="7"/>
      <c r="F73" s="7"/>
      <c r="G73" s="59"/>
      <c r="H73" s="4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v>4920</v>
      </c>
      <c r="U73" s="59">
        <f t="shared" si="31"/>
        <v>4920</v>
      </c>
      <c r="V73" s="70">
        <f t="shared" si="29"/>
        <v>4920</v>
      </c>
      <c r="W73" s="47">
        <f t="shared" si="30"/>
        <v>45</v>
      </c>
      <c r="X73" s="4"/>
      <c r="Y73" s="4" t="s">
        <v>125</v>
      </c>
    </row>
    <row r="74" spans="1:26" x14ac:dyDescent="0.2">
      <c r="A74" s="4" t="s">
        <v>10</v>
      </c>
      <c r="B74" s="7">
        <v>300</v>
      </c>
      <c r="C74" s="47"/>
      <c r="D74" s="7"/>
      <c r="E74" s="7"/>
      <c r="F74" s="7"/>
      <c r="G74" s="59"/>
      <c r="H74" s="4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59">
        <f t="shared" si="31"/>
        <v>0</v>
      </c>
      <c r="V74" s="70">
        <f t="shared" si="29"/>
        <v>0</v>
      </c>
      <c r="W74" s="47">
        <f t="shared" si="30"/>
        <v>-300</v>
      </c>
      <c r="X74" s="4"/>
      <c r="Y74" s="4" t="s">
        <v>91</v>
      </c>
    </row>
    <row r="75" spans="1:26" x14ac:dyDescent="0.2">
      <c r="A75" s="4" t="s">
        <v>11</v>
      </c>
      <c r="B75" s="7">
        <v>50400</v>
      </c>
      <c r="C75" s="47"/>
      <c r="D75" s="7"/>
      <c r="E75" s="7"/>
      <c r="F75" s="7">
        <f>20400-C75</f>
        <v>20400</v>
      </c>
      <c r="G75" s="59">
        <f>C75+D75+F75</f>
        <v>20400</v>
      </c>
      <c r="H75" s="47"/>
      <c r="I75" s="7"/>
      <c r="J75" s="7">
        <f>450*12</f>
        <v>5400</v>
      </c>
      <c r="K75" s="7"/>
      <c r="L75" s="7">
        <f>450*12/2</f>
        <v>2700</v>
      </c>
      <c r="M75" s="7">
        <v>1800</v>
      </c>
      <c r="N75" s="7">
        <v>2400</v>
      </c>
      <c r="O75" s="7"/>
      <c r="P75" s="7"/>
      <c r="Q75" s="7">
        <v>4320</v>
      </c>
      <c r="R75" s="7"/>
      <c r="S75" s="7">
        <f>5400+890</f>
        <v>6290</v>
      </c>
      <c r="T75" s="7">
        <v>9600</v>
      </c>
      <c r="U75" s="59">
        <f t="shared" si="31"/>
        <v>32510</v>
      </c>
      <c r="V75" s="70">
        <f t="shared" si="29"/>
        <v>52910</v>
      </c>
      <c r="W75" s="47">
        <f t="shared" si="30"/>
        <v>2510</v>
      </c>
      <c r="X75" s="4"/>
      <c r="Y75" s="4" t="s">
        <v>126</v>
      </c>
    </row>
    <row r="76" spans="1:26" x14ac:dyDescent="0.2">
      <c r="A76" s="4" t="s">
        <v>12</v>
      </c>
      <c r="B76" s="7">
        <v>780</v>
      </c>
      <c r="C76" s="47"/>
      <c r="D76" s="7"/>
      <c r="E76" s="7"/>
      <c r="F76" s="7">
        <v>360</v>
      </c>
      <c r="G76" s="59">
        <f>C76+D76+F76</f>
        <v>360</v>
      </c>
      <c r="H76" s="47"/>
      <c r="I76" s="7"/>
      <c r="J76" s="7"/>
      <c r="K76" s="7"/>
      <c r="L76" s="7"/>
      <c r="M76" s="7"/>
      <c r="N76" s="7"/>
      <c r="O76" s="7">
        <f>(450*2*5)</f>
        <v>4500</v>
      </c>
      <c r="P76" s="7"/>
      <c r="Q76" s="7"/>
      <c r="R76" s="7"/>
      <c r="S76" s="7"/>
      <c r="T76" s="7">
        <v>360</v>
      </c>
      <c r="U76" s="59">
        <f t="shared" si="31"/>
        <v>4860</v>
      </c>
      <c r="V76" s="70">
        <f t="shared" si="29"/>
        <v>5220</v>
      </c>
      <c r="W76" s="47">
        <f t="shared" si="30"/>
        <v>4440</v>
      </c>
      <c r="X76" s="4"/>
      <c r="Y76" s="4" t="s">
        <v>176</v>
      </c>
      <c r="Z76" s="15"/>
    </row>
    <row r="77" spans="1:26" x14ac:dyDescent="0.2">
      <c r="A77" s="4" t="s">
        <v>168</v>
      </c>
      <c r="B77" s="7"/>
      <c r="C77" s="47"/>
      <c r="D77" s="7"/>
      <c r="E77" s="7"/>
      <c r="F77" s="7"/>
      <c r="G77" s="59"/>
      <c r="H77" s="47"/>
      <c r="I77" s="7"/>
      <c r="J77" s="7"/>
      <c r="K77" s="7"/>
      <c r="L77" s="7"/>
      <c r="M77" s="7"/>
      <c r="N77" s="7"/>
      <c r="O77" s="7"/>
      <c r="P77" s="7">
        <f>(2050000-422000-628238)*0.67</f>
        <v>669840.54</v>
      </c>
      <c r="Q77" s="7">
        <v>18000</v>
      </c>
      <c r="R77" s="7"/>
      <c r="S77" s="7">
        <v>10000</v>
      </c>
      <c r="T77" s="7"/>
      <c r="U77" s="59">
        <f t="shared" si="31"/>
        <v>697840.54</v>
      </c>
      <c r="V77" s="70">
        <f t="shared" si="29"/>
        <v>697840.54</v>
      </c>
      <c r="W77" s="47">
        <f t="shared" si="30"/>
        <v>697840.54</v>
      </c>
      <c r="X77" s="4"/>
      <c r="Y77" s="4" t="s">
        <v>175</v>
      </c>
      <c r="Z77" s="15"/>
    </row>
    <row r="78" spans="1:26" x14ac:dyDescent="0.2">
      <c r="A78" s="4" t="s">
        <v>210</v>
      </c>
      <c r="B78" s="7">
        <v>20184</v>
      </c>
      <c r="C78" s="47">
        <v>2735.81</v>
      </c>
      <c r="D78" s="7"/>
      <c r="E78" s="7"/>
      <c r="F78" s="67">
        <f>5600-C78+(30*12)</f>
        <v>3224.19</v>
      </c>
      <c r="G78" s="59">
        <f>C78+D78+F78</f>
        <v>5960</v>
      </c>
      <c r="H78" s="47">
        <v>720</v>
      </c>
      <c r="I78" s="7">
        <v>720</v>
      </c>
      <c r="J78" s="7"/>
      <c r="K78" s="7"/>
      <c r="L78" s="7">
        <v>720</v>
      </c>
      <c r="M78" s="7">
        <v>720</v>
      </c>
      <c r="N78" s="7">
        <v>720</v>
      </c>
      <c r="O78" s="7">
        <f>450/12*10</f>
        <v>375</v>
      </c>
      <c r="P78" s="7">
        <f>720*4</f>
        <v>2880</v>
      </c>
      <c r="Q78" s="7">
        <f>2016+810</f>
        <v>2826</v>
      </c>
      <c r="R78" s="7">
        <v>720</v>
      </c>
      <c r="S78" s="7">
        <f>1200+444</f>
        <v>1644</v>
      </c>
      <c r="T78" s="7">
        <v>21000</v>
      </c>
      <c r="U78" s="59">
        <f t="shared" si="31"/>
        <v>33045</v>
      </c>
      <c r="V78" s="70">
        <f t="shared" si="29"/>
        <v>39005</v>
      </c>
      <c r="W78" s="47">
        <f t="shared" si="30"/>
        <v>18821</v>
      </c>
      <c r="X78" s="4"/>
      <c r="Y78" s="4" t="s">
        <v>106</v>
      </c>
    </row>
    <row r="79" spans="1:26" x14ac:dyDescent="0.2">
      <c r="A79" s="4" t="s">
        <v>124</v>
      </c>
      <c r="B79" s="7">
        <v>23103</v>
      </c>
      <c r="C79" s="47">
        <v>8444</v>
      </c>
      <c r="D79" s="7"/>
      <c r="E79" s="7"/>
      <c r="F79" s="7">
        <v>2400</v>
      </c>
      <c r="G79" s="59">
        <f>C79+D79+F79</f>
        <v>10844</v>
      </c>
      <c r="H79" s="47">
        <v>1200</v>
      </c>
      <c r="I79" s="7">
        <v>2400</v>
      </c>
      <c r="J79" s="7">
        <v>1800</v>
      </c>
      <c r="K79" s="7"/>
      <c r="L79" s="7">
        <v>1500</v>
      </c>
      <c r="M79" s="7">
        <v>1800</v>
      </c>
      <c r="N79" s="7">
        <v>1800</v>
      </c>
      <c r="O79" s="7">
        <f>7200/12*10</f>
        <v>6000</v>
      </c>
      <c r="P79" s="7">
        <v>4800</v>
      </c>
      <c r="Q79" s="7">
        <v>3360</v>
      </c>
      <c r="R79" s="7">
        <v>1200</v>
      </c>
      <c r="S79" s="7">
        <v>3300</v>
      </c>
      <c r="T79" s="7">
        <v>0</v>
      </c>
      <c r="U79" s="59">
        <f t="shared" si="31"/>
        <v>29160</v>
      </c>
      <c r="V79" s="70">
        <f t="shared" si="29"/>
        <v>40004</v>
      </c>
      <c r="W79" s="47">
        <f t="shared" si="30"/>
        <v>16901</v>
      </c>
      <c r="X79" s="4"/>
      <c r="Y79" s="4" t="s">
        <v>211</v>
      </c>
      <c r="Z79" s="84"/>
    </row>
    <row r="80" spans="1:26" x14ac:dyDescent="0.2">
      <c r="A80" s="4" t="s">
        <v>65</v>
      </c>
      <c r="B80" s="7">
        <v>4860</v>
      </c>
      <c r="C80" s="47"/>
      <c r="D80" s="7"/>
      <c r="E80" s="7"/>
      <c r="F80" s="7">
        <v>300</v>
      </c>
      <c r="G80" s="59">
        <f>C80+D80+F80</f>
        <v>300</v>
      </c>
      <c r="H80" s="47">
        <v>360</v>
      </c>
      <c r="I80" s="7"/>
      <c r="J80" s="7"/>
      <c r="K80" s="7"/>
      <c r="L80" s="7"/>
      <c r="M80" s="7">
        <v>600</v>
      </c>
      <c r="N80" s="7">
        <v>360</v>
      </c>
      <c r="O80" s="7"/>
      <c r="P80" s="7">
        <v>600</v>
      </c>
      <c r="Q80" s="7"/>
      <c r="R80" s="7"/>
      <c r="S80" s="7">
        <v>600</v>
      </c>
      <c r="T80" s="7">
        <v>3000</v>
      </c>
      <c r="U80" s="59">
        <f t="shared" si="31"/>
        <v>5520</v>
      </c>
      <c r="V80" s="70">
        <f t="shared" si="29"/>
        <v>5820</v>
      </c>
      <c r="W80" s="47">
        <f t="shared" si="30"/>
        <v>960</v>
      </c>
      <c r="X80" s="4"/>
      <c r="Y80" s="4" t="s">
        <v>80</v>
      </c>
      <c r="Z80" s="84"/>
    </row>
    <row r="81" spans="1:26" x14ac:dyDescent="0.2">
      <c r="A81" s="4" t="s">
        <v>289</v>
      </c>
      <c r="B81" s="7"/>
      <c r="C81" s="47"/>
      <c r="D81" s="7"/>
      <c r="E81" s="7"/>
      <c r="F81" s="7"/>
      <c r="G81" s="59"/>
      <c r="H81" s="47"/>
      <c r="I81" s="7"/>
      <c r="J81" s="7"/>
      <c r="K81" s="7"/>
      <c r="L81" s="7"/>
      <c r="M81" s="7"/>
      <c r="N81" s="7"/>
      <c r="O81" s="7">
        <f>14845.5/12*10-O10-O62-O76</f>
        <v>2645.9166666666661</v>
      </c>
      <c r="P81" s="7"/>
      <c r="Q81" s="7"/>
      <c r="R81" s="7"/>
      <c r="S81" s="7">
        <f>7179-S10-S62-0.67</f>
        <v>489.9966666666665</v>
      </c>
      <c r="T81" s="7"/>
      <c r="U81" s="59">
        <f t="shared" si="31"/>
        <v>3135.9133333333325</v>
      </c>
      <c r="V81" s="70">
        <f t="shared" si="29"/>
        <v>3135.9133333333325</v>
      </c>
      <c r="W81" s="47"/>
      <c r="X81" s="4"/>
      <c r="Y81" s="4"/>
      <c r="Z81" s="84"/>
    </row>
    <row r="82" spans="1:26" x14ac:dyDescent="0.2">
      <c r="A82" s="1" t="s">
        <v>13</v>
      </c>
      <c r="B82" s="7">
        <f>SUM(B59:B80)</f>
        <v>197574.58</v>
      </c>
      <c r="C82" s="47">
        <f>SUM(C59:C80)</f>
        <v>21791.41</v>
      </c>
      <c r="D82" s="7">
        <f>SUM(D59:D80)</f>
        <v>0</v>
      </c>
      <c r="E82" s="7"/>
      <c r="F82" s="7">
        <f>SUM(F59:F80)</f>
        <v>57576.590000000004</v>
      </c>
      <c r="G82" s="59">
        <f>C82+F82</f>
        <v>79368</v>
      </c>
      <c r="H82" s="47">
        <f>SUM(H59:H80)</f>
        <v>6972</v>
      </c>
      <c r="I82" s="7">
        <f>SUM(I59:I80)</f>
        <v>6432</v>
      </c>
      <c r="J82" s="7">
        <f>SUM(J59:J80)</f>
        <v>7632</v>
      </c>
      <c r="K82" s="7">
        <f>SUM(K59:K80)</f>
        <v>0</v>
      </c>
      <c r="L82" s="7">
        <f>SUM(L59:L80)</f>
        <v>6120</v>
      </c>
      <c r="M82" s="7">
        <f t="shared" ref="M82:V82" si="33">SUM(M59:M80)</f>
        <v>8193</v>
      </c>
      <c r="N82" s="7">
        <f t="shared" si="33"/>
        <v>6377</v>
      </c>
      <c r="O82" s="7">
        <f t="shared" ref="O82" si="34">SUM(O59:O80)</f>
        <v>21425</v>
      </c>
      <c r="P82" s="7">
        <f t="shared" si="33"/>
        <v>682196.54</v>
      </c>
      <c r="Q82" s="7">
        <f t="shared" si="33"/>
        <v>53346</v>
      </c>
      <c r="R82" s="7">
        <f t="shared" si="33"/>
        <v>2960</v>
      </c>
      <c r="S82" s="7">
        <f t="shared" si="33"/>
        <v>30266</v>
      </c>
      <c r="T82" s="7">
        <f t="shared" si="33"/>
        <v>108698</v>
      </c>
      <c r="U82" s="59">
        <f t="shared" si="33"/>
        <v>940617.54</v>
      </c>
      <c r="V82" s="70">
        <f t="shared" si="33"/>
        <v>1019501.54</v>
      </c>
      <c r="W82" s="47">
        <f>V82-B82</f>
        <v>821926.96000000008</v>
      </c>
      <c r="X82" s="6"/>
      <c r="Y82" s="40"/>
      <c r="Z82" s="84"/>
    </row>
    <row r="83" spans="1:26" x14ac:dyDescent="0.2">
      <c r="A83" s="1" t="s">
        <v>14</v>
      </c>
      <c r="B83" s="8">
        <f>B82+B56</f>
        <v>1319402.5</v>
      </c>
      <c r="C83" s="48">
        <f t="shared" ref="C83:K83" si="35">C82+C56</f>
        <v>145531.30112922529</v>
      </c>
      <c r="D83" s="8">
        <f t="shared" si="35"/>
        <v>0</v>
      </c>
      <c r="E83" s="8"/>
      <c r="F83" s="8">
        <f t="shared" si="35"/>
        <v>263565.91415570228</v>
      </c>
      <c r="G83" s="60">
        <f t="shared" si="35"/>
        <v>409097.21528492752</v>
      </c>
      <c r="H83" s="48">
        <f t="shared" si="35"/>
        <v>17930.740242333333</v>
      </c>
      <c r="I83" s="8">
        <f t="shared" si="35"/>
        <v>77160.381253800006</v>
      </c>
      <c r="J83" s="8">
        <f t="shared" si="35"/>
        <v>122030.82426090448</v>
      </c>
      <c r="K83" s="8">
        <f t="shared" si="35"/>
        <v>57349.087672744456</v>
      </c>
      <c r="L83" s="8">
        <f t="shared" ref="L83" si="36">L82+L56</f>
        <v>22609.077131333332</v>
      </c>
      <c r="M83" s="8">
        <f t="shared" ref="M83:V83" si="37">M82+M56</f>
        <v>88597.879492741165</v>
      </c>
      <c r="N83" s="8">
        <f t="shared" si="37"/>
        <v>73297.26870414411</v>
      </c>
      <c r="O83" s="8">
        <f t="shared" ref="O83" si="38">O82+O56</f>
        <v>104048.62550100178</v>
      </c>
      <c r="P83" s="8">
        <f t="shared" si="37"/>
        <v>891207.21319193742</v>
      </c>
      <c r="Q83" s="8">
        <f t="shared" si="37"/>
        <v>320182.49785873265</v>
      </c>
      <c r="R83" s="8">
        <f t="shared" si="37"/>
        <v>33404.501248749999</v>
      </c>
      <c r="S83" s="8">
        <f t="shared" si="37"/>
        <v>161807.42928725333</v>
      </c>
      <c r="T83" s="8">
        <f t="shared" si="37"/>
        <v>108698</v>
      </c>
      <c r="U83" s="60">
        <f>H83+I83+J83+K83+M83+N83+P83+R83+S83+T83</f>
        <v>1631483.3253546082</v>
      </c>
      <c r="V83" s="71">
        <f t="shared" si="37"/>
        <v>2486936.7411306035</v>
      </c>
      <c r="W83" s="48">
        <f>W56+W82</f>
        <v>1167534.2411306035</v>
      </c>
      <c r="X83" s="31"/>
      <c r="Y83" s="90">
        <f>W83/B83</f>
        <v>0.88489618681986992</v>
      </c>
      <c r="Z83" s="84"/>
    </row>
    <row r="84" spans="1:26" x14ac:dyDescent="0.2">
      <c r="A84" s="4"/>
      <c r="B84" s="4"/>
      <c r="C84" s="45"/>
      <c r="D84" s="4"/>
      <c r="E84" s="4"/>
      <c r="F84" s="4"/>
      <c r="G84" s="59">
        <f>G83/2</f>
        <v>204548.60764246376</v>
      </c>
      <c r="H84" s="4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  <c r="U84" s="59"/>
      <c r="V84" s="73"/>
      <c r="W84" s="47"/>
      <c r="X84" s="4"/>
      <c r="Y84" s="4"/>
    </row>
    <row r="85" spans="1:26" x14ac:dyDescent="0.2">
      <c r="A85" s="1" t="s">
        <v>15</v>
      </c>
      <c r="B85" s="30" t="s">
        <v>25</v>
      </c>
      <c r="C85" s="49" t="s">
        <v>110</v>
      </c>
      <c r="D85" s="30" t="s">
        <v>88</v>
      </c>
      <c r="E85" s="30"/>
      <c r="F85" s="30" t="s">
        <v>57</v>
      </c>
      <c r="G85" s="61" t="s">
        <v>24</v>
      </c>
      <c r="H85" s="49" t="s">
        <v>54</v>
      </c>
      <c r="I85" s="30" t="s">
        <v>60</v>
      </c>
      <c r="J85" s="30" t="s">
        <v>29</v>
      </c>
      <c r="K85" s="30" t="s">
        <v>160</v>
      </c>
      <c r="L85" s="30" t="s">
        <v>288</v>
      </c>
      <c r="M85" s="30" t="s">
        <v>56</v>
      </c>
      <c r="N85" s="30" t="s">
        <v>69</v>
      </c>
      <c r="O85" s="30" t="s">
        <v>284</v>
      </c>
      <c r="P85" s="30" t="s">
        <v>249</v>
      </c>
      <c r="Q85" s="30" t="s">
        <v>250</v>
      </c>
      <c r="R85" s="30" t="s">
        <v>170</v>
      </c>
      <c r="S85" s="30" t="s">
        <v>122</v>
      </c>
      <c r="T85" s="30" t="s">
        <v>64</v>
      </c>
      <c r="U85" s="61" t="s">
        <v>30</v>
      </c>
      <c r="V85" s="72" t="s">
        <v>25</v>
      </c>
      <c r="W85" s="49" t="s">
        <v>66</v>
      </c>
      <c r="X85" s="4"/>
      <c r="Y85" s="4"/>
    </row>
    <row r="86" spans="1:26" x14ac:dyDescent="0.2">
      <c r="A86" s="4" t="s">
        <v>16</v>
      </c>
      <c r="B86" s="7">
        <v>180000</v>
      </c>
      <c r="C86" s="47"/>
      <c r="D86" s="7"/>
      <c r="E86" s="7"/>
      <c r="F86" s="7">
        <f>36000-F88</f>
        <v>34000</v>
      </c>
      <c r="G86" s="59">
        <f t="shared" ref="G86:G93" si="39">C86+D86+F86</f>
        <v>34000</v>
      </c>
      <c r="H86" s="4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>144000+F88</f>
        <v>146000</v>
      </c>
      <c r="U86" s="59">
        <f>H86+I86+J86+K86+L86+M86+N86+O86+P86+Q86+R86+S86+T86</f>
        <v>146000</v>
      </c>
      <c r="V86" s="70">
        <f>G86+U86</f>
        <v>180000</v>
      </c>
      <c r="W86" s="47">
        <f t="shared" ref="W86:W93" si="40">V86-B86</f>
        <v>0</v>
      </c>
      <c r="X86" s="4"/>
      <c r="Y86" s="4" t="s">
        <v>81</v>
      </c>
    </row>
    <row r="87" spans="1:26" x14ac:dyDescent="0.2">
      <c r="A87" s="4" t="s">
        <v>47</v>
      </c>
      <c r="B87" s="7">
        <v>14400</v>
      </c>
      <c r="C87" s="47"/>
      <c r="D87" s="7"/>
      <c r="E87" s="7"/>
      <c r="F87" s="7">
        <v>12000</v>
      </c>
      <c r="G87" s="59">
        <f t="shared" si="39"/>
        <v>12000</v>
      </c>
      <c r="H87" s="4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59">
        <f t="shared" ref="U87:U118" si="41">H87+I87+J87+K87+L87+M87+N87+O87+P87+Q87+R87+S87+T87</f>
        <v>0</v>
      </c>
      <c r="V87" s="70">
        <f t="shared" ref="V87:V118" si="42">G87+U87</f>
        <v>12000</v>
      </c>
      <c r="W87" s="47">
        <f t="shared" si="40"/>
        <v>-2400</v>
      </c>
      <c r="X87" s="4"/>
      <c r="Y87" s="4" t="s">
        <v>116</v>
      </c>
    </row>
    <row r="88" spans="1:26" x14ac:dyDescent="0.2">
      <c r="A88" s="4" t="s">
        <v>75</v>
      </c>
      <c r="B88" s="7">
        <v>16200</v>
      </c>
      <c r="C88" s="47"/>
      <c r="D88" s="7"/>
      <c r="E88" s="7"/>
      <c r="F88" s="7">
        <v>2000</v>
      </c>
      <c r="G88" s="59">
        <f t="shared" si="39"/>
        <v>2000</v>
      </c>
      <c r="H88" s="4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39">
        <v>39000</v>
      </c>
      <c r="U88" s="59">
        <f t="shared" si="41"/>
        <v>39000</v>
      </c>
      <c r="V88" s="70">
        <f t="shared" si="42"/>
        <v>41000</v>
      </c>
      <c r="W88" s="47">
        <f t="shared" si="40"/>
        <v>24800</v>
      </c>
      <c r="X88" s="4"/>
      <c r="Y88" s="4" t="s">
        <v>219</v>
      </c>
    </row>
    <row r="89" spans="1:26" x14ac:dyDescent="0.2">
      <c r="A89" s="4" t="s">
        <v>48</v>
      </c>
      <c r="B89" s="7">
        <v>88800</v>
      </c>
      <c r="C89" s="47"/>
      <c r="D89" s="7"/>
      <c r="E89" s="7"/>
      <c r="F89" s="7">
        <v>48000</v>
      </c>
      <c r="G89" s="59">
        <f t="shared" si="39"/>
        <v>48000</v>
      </c>
      <c r="H89" s="4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v>60000</v>
      </c>
      <c r="U89" s="59">
        <f t="shared" si="41"/>
        <v>60000</v>
      </c>
      <c r="V89" s="70">
        <f t="shared" si="42"/>
        <v>108000</v>
      </c>
      <c r="W89" s="47">
        <f t="shared" si="40"/>
        <v>19200</v>
      </c>
      <c r="X89" s="4"/>
      <c r="Y89" s="4" t="s">
        <v>117</v>
      </c>
    </row>
    <row r="90" spans="1:26" x14ac:dyDescent="0.2">
      <c r="A90" s="4" t="s">
        <v>49</v>
      </c>
      <c r="B90" s="7">
        <v>12000</v>
      </c>
      <c r="C90" s="47"/>
      <c r="D90" s="7"/>
      <c r="E90" s="7"/>
      <c r="F90" s="7">
        <v>6000</v>
      </c>
      <c r="G90" s="59">
        <f t="shared" si="39"/>
        <v>6000</v>
      </c>
      <c r="H90" s="4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v>6000</v>
      </c>
      <c r="U90" s="59">
        <f t="shared" si="41"/>
        <v>6000</v>
      </c>
      <c r="V90" s="70">
        <f t="shared" si="42"/>
        <v>12000</v>
      </c>
      <c r="W90" s="47">
        <f t="shared" si="40"/>
        <v>0</v>
      </c>
      <c r="X90" s="4"/>
      <c r="Y90" s="4" t="s">
        <v>212</v>
      </c>
    </row>
    <row r="91" spans="1:26" x14ac:dyDescent="0.2">
      <c r="A91" s="4" t="s">
        <v>63</v>
      </c>
      <c r="B91" s="7">
        <v>45000</v>
      </c>
      <c r="C91" s="47"/>
      <c r="D91" s="7"/>
      <c r="E91" s="7"/>
      <c r="F91" s="7"/>
      <c r="G91" s="59">
        <f t="shared" si="39"/>
        <v>0</v>
      </c>
      <c r="H91" s="47"/>
      <c r="I91" s="7"/>
      <c r="J91" s="7"/>
      <c r="K91" s="7"/>
      <c r="L91" s="7"/>
      <c r="M91" s="7">
        <v>50000</v>
      </c>
      <c r="N91" s="7"/>
      <c r="O91" s="7"/>
      <c r="P91" s="7"/>
      <c r="Q91" s="7"/>
      <c r="R91" s="7"/>
      <c r="S91" s="7"/>
      <c r="T91" s="7"/>
      <c r="U91" s="59">
        <f t="shared" si="41"/>
        <v>50000</v>
      </c>
      <c r="V91" s="70">
        <f t="shared" si="42"/>
        <v>50000</v>
      </c>
      <c r="W91" s="47">
        <f t="shared" si="40"/>
        <v>5000</v>
      </c>
      <c r="X91" s="4"/>
      <c r="Y91" s="4" t="s">
        <v>82</v>
      </c>
    </row>
    <row r="92" spans="1:26" x14ac:dyDescent="0.2">
      <c r="A92" s="4" t="s">
        <v>71</v>
      </c>
      <c r="B92" s="7">
        <v>65000</v>
      </c>
      <c r="C92" s="47"/>
      <c r="D92" s="7"/>
      <c r="E92" s="7"/>
      <c r="F92" s="7"/>
      <c r="G92" s="59">
        <f t="shared" si="39"/>
        <v>0</v>
      </c>
      <c r="H92" s="47"/>
      <c r="I92" s="7"/>
      <c r="J92" s="7"/>
      <c r="K92" s="7"/>
      <c r="L92" s="7"/>
      <c r="M92" s="7">
        <v>50000</v>
      </c>
      <c r="N92" s="7"/>
      <c r="O92" s="7"/>
      <c r="P92" s="7"/>
      <c r="Q92" s="7"/>
      <c r="R92" s="7">
        <v>20000</v>
      </c>
      <c r="S92" s="7">
        <v>10000</v>
      </c>
      <c r="T92" s="7"/>
      <c r="U92" s="59">
        <f t="shared" si="41"/>
        <v>80000</v>
      </c>
      <c r="V92" s="70">
        <f t="shared" si="42"/>
        <v>80000</v>
      </c>
      <c r="W92" s="47">
        <f t="shared" si="40"/>
        <v>15000</v>
      </c>
      <c r="X92" s="4"/>
      <c r="Y92" s="4" t="s">
        <v>82</v>
      </c>
    </row>
    <row r="93" spans="1:26" x14ac:dyDescent="0.2">
      <c r="A93" s="4" t="s">
        <v>70</v>
      </c>
      <c r="B93" s="7">
        <v>50000</v>
      </c>
      <c r="C93" s="47"/>
      <c r="D93" s="7"/>
      <c r="E93" s="7"/>
      <c r="F93" s="7"/>
      <c r="G93" s="59">
        <f t="shared" si="39"/>
        <v>0</v>
      </c>
      <c r="H93" s="47"/>
      <c r="I93" s="7"/>
      <c r="J93" s="7"/>
      <c r="K93" s="7"/>
      <c r="L93" s="7"/>
      <c r="M93" s="7"/>
      <c r="N93" s="7">
        <v>50000</v>
      </c>
      <c r="O93" s="7"/>
      <c r="P93" s="7"/>
      <c r="Q93" s="7"/>
      <c r="R93" s="7"/>
      <c r="S93" s="7"/>
      <c r="T93" s="7"/>
      <c r="U93" s="59">
        <f t="shared" si="41"/>
        <v>50000</v>
      </c>
      <c r="V93" s="70">
        <f t="shared" si="42"/>
        <v>50000</v>
      </c>
      <c r="W93" s="47">
        <f t="shared" si="40"/>
        <v>0</v>
      </c>
      <c r="X93" s="4"/>
      <c r="Y93" s="4" t="s">
        <v>82</v>
      </c>
    </row>
    <row r="94" spans="1:26" x14ac:dyDescent="0.2">
      <c r="A94" s="4" t="s">
        <v>287</v>
      </c>
      <c r="B94" s="7"/>
      <c r="C94" s="47"/>
      <c r="D94" s="7"/>
      <c r="E94" s="7"/>
      <c r="F94" s="7"/>
      <c r="G94" s="59"/>
      <c r="H94" s="47"/>
      <c r="I94" s="7"/>
      <c r="J94" s="7"/>
      <c r="K94" s="7"/>
      <c r="L94" s="7"/>
      <c r="M94" s="7"/>
      <c r="N94" s="7"/>
      <c r="O94" s="7">
        <f>75000+44000</f>
        <v>119000</v>
      </c>
      <c r="P94" s="7"/>
      <c r="Q94" s="7"/>
      <c r="R94" s="7"/>
      <c r="S94" s="7"/>
      <c r="T94" s="7"/>
      <c r="U94" s="59">
        <f t="shared" si="41"/>
        <v>119000</v>
      </c>
      <c r="V94" s="70">
        <f t="shared" si="42"/>
        <v>119000</v>
      </c>
      <c r="W94" s="47"/>
      <c r="X94" s="4"/>
      <c r="Y94" s="4"/>
    </row>
    <row r="95" spans="1:26" x14ac:dyDescent="0.2">
      <c r="A95" s="4" t="s">
        <v>131</v>
      </c>
      <c r="B95" s="7">
        <v>15000</v>
      </c>
      <c r="C95" s="47"/>
      <c r="D95" s="7"/>
      <c r="E95" s="7"/>
      <c r="F95" s="7"/>
      <c r="G95" s="59">
        <f t="shared" ref="G95:G100" si="43">C95+D95+F95</f>
        <v>0</v>
      </c>
      <c r="H95" s="4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59">
        <f t="shared" si="41"/>
        <v>0</v>
      </c>
      <c r="V95" s="70">
        <f t="shared" si="42"/>
        <v>0</v>
      </c>
      <c r="W95" s="47">
        <f t="shared" ref="W95:W103" si="44">V95-B95</f>
        <v>-15000</v>
      </c>
      <c r="X95" s="4"/>
      <c r="Y95" s="4" t="s">
        <v>213</v>
      </c>
    </row>
    <row r="96" spans="1:26" x14ac:dyDescent="0.2">
      <c r="A96" s="4" t="s">
        <v>110</v>
      </c>
      <c r="B96" s="7">
        <v>192640</v>
      </c>
      <c r="C96" s="47">
        <f>154112</f>
        <v>154112</v>
      </c>
      <c r="D96" s="7"/>
      <c r="E96" s="7"/>
      <c r="F96" s="7"/>
      <c r="G96" s="59">
        <f t="shared" si="43"/>
        <v>154112</v>
      </c>
      <c r="H96" s="4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59">
        <f t="shared" si="41"/>
        <v>0</v>
      </c>
      <c r="V96" s="70">
        <f t="shared" si="42"/>
        <v>154112</v>
      </c>
      <c r="W96" s="47">
        <f t="shared" si="44"/>
        <v>-38528</v>
      </c>
      <c r="X96" s="4"/>
      <c r="Y96" s="4" t="s">
        <v>127</v>
      </c>
    </row>
    <row r="97" spans="1:25" hidden="1" x14ac:dyDescent="0.2">
      <c r="A97" s="4" t="s">
        <v>68</v>
      </c>
      <c r="B97" s="7">
        <v>0</v>
      </c>
      <c r="C97" s="47"/>
      <c r="D97" s="7"/>
      <c r="E97" s="7"/>
      <c r="F97" s="7"/>
      <c r="G97" s="59">
        <f t="shared" si="43"/>
        <v>0</v>
      </c>
      <c r="H97" s="4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59">
        <f t="shared" si="41"/>
        <v>0</v>
      </c>
      <c r="V97" s="70">
        <f t="shared" si="42"/>
        <v>0</v>
      </c>
      <c r="W97" s="47">
        <f t="shared" si="44"/>
        <v>0</v>
      </c>
      <c r="X97" s="4"/>
      <c r="Y97" s="4" t="s">
        <v>83</v>
      </c>
    </row>
    <row r="98" spans="1:25" x14ac:dyDescent="0.2">
      <c r="A98" s="4" t="s">
        <v>50</v>
      </c>
      <c r="B98" s="7">
        <v>5000</v>
      </c>
      <c r="C98" s="47"/>
      <c r="D98" s="7"/>
      <c r="E98" s="7"/>
      <c r="F98" s="7">
        <v>5000</v>
      </c>
      <c r="G98" s="59">
        <f t="shared" si="43"/>
        <v>5000</v>
      </c>
      <c r="H98" s="4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59">
        <f t="shared" si="41"/>
        <v>0</v>
      </c>
      <c r="V98" s="70">
        <f t="shared" si="42"/>
        <v>5000</v>
      </c>
      <c r="W98" s="47">
        <f t="shared" si="44"/>
        <v>0</v>
      </c>
      <c r="X98" s="4"/>
      <c r="Y98" s="4" t="s">
        <v>82</v>
      </c>
    </row>
    <row r="99" spans="1:25" x14ac:dyDescent="0.2">
      <c r="A99" s="4" t="s">
        <v>67</v>
      </c>
      <c r="B99" s="7">
        <v>16000</v>
      </c>
      <c r="C99" s="47"/>
      <c r="D99" s="7"/>
      <c r="E99" s="7"/>
      <c r="F99" s="7">
        <v>18000</v>
      </c>
      <c r="G99" s="59">
        <v>20000</v>
      </c>
      <c r="H99" s="4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59">
        <f t="shared" si="41"/>
        <v>0</v>
      </c>
      <c r="V99" s="70">
        <f t="shared" si="42"/>
        <v>20000</v>
      </c>
      <c r="W99" s="47">
        <f t="shared" si="44"/>
        <v>4000</v>
      </c>
      <c r="X99" s="4"/>
      <c r="Y99" s="4" t="s">
        <v>84</v>
      </c>
    </row>
    <row r="100" spans="1:25" x14ac:dyDescent="0.2">
      <c r="A100" s="4" t="s">
        <v>129</v>
      </c>
      <c r="B100" s="7">
        <v>19200</v>
      </c>
      <c r="C100" s="47"/>
      <c r="D100" s="7"/>
      <c r="E100" s="7"/>
      <c r="F100" s="7">
        <v>10000</v>
      </c>
      <c r="G100" s="59">
        <f t="shared" si="43"/>
        <v>10000</v>
      </c>
      <c r="H100" s="47">
        <v>9600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59">
        <f t="shared" si="41"/>
        <v>9600</v>
      </c>
      <c r="V100" s="70">
        <f t="shared" si="42"/>
        <v>19600</v>
      </c>
      <c r="W100" s="47">
        <f t="shared" si="44"/>
        <v>400</v>
      </c>
      <c r="X100" s="4"/>
      <c r="Y100" s="4" t="s">
        <v>128</v>
      </c>
    </row>
    <row r="101" spans="1:25" x14ac:dyDescent="0.2">
      <c r="A101" s="4" t="s">
        <v>148</v>
      </c>
      <c r="B101" s="7">
        <v>14000</v>
      </c>
      <c r="C101" s="47"/>
      <c r="D101" s="7"/>
      <c r="E101" s="7"/>
      <c r="F101" s="7"/>
      <c r="G101" s="59"/>
      <c r="H101" s="47">
        <v>5000</v>
      </c>
      <c r="I101" s="7"/>
      <c r="J101" s="7"/>
      <c r="K101" s="7"/>
      <c r="L101" s="7"/>
      <c r="M101" s="7"/>
      <c r="N101" s="7">
        <f>17972</f>
        <v>17972</v>
      </c>
      <c r="O101" s="7"/>
      <c r="P101" s="7"/>
      <c r="Q101" s="7"/>
      <c r="R101" s="7"/>
      <c r="S101" s="7"/>
      <c r="T101" s="7">
        <v>9000</v>
      </c>
      <c r="U101" s="59">
        <f t="shared" si="41"/>
        <v>31972</v>
      </c>
      <c r="V101" s="70">
        <f t="shared" si="42"/>
        <v>31972</v>
      </c>
      <c r="W101" s="47">
        <f t="shared" si="44"/>
        <v>17972</v>
      </c>
      <c r="X101" s="4"/>
      <c r="Y101" s="4"/>
    </row>
    <row r="102" spans="1:25" x14ac:dyDescent="0.2">
      <c r="A102" s="4" t="s">
        <v>142</v>
      </c>
      <c r="B102" s="7">
        <v>0</v>
      </c>
      <c r="C102" s="47"/>
      <c r="D102" s="7"/>
      <c r="E102" s="7"/>
      <c r="F102" s="7"/>
      <c r="G102" s="59">
        <f>C102+D102+F102</f>
        <v>0</v>
      </c>
      <c r="H102" s="4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>
        <v>110000</v>
      </c>
      <c r="T102" s="7"/>
      <c r="U102" s="59">
        <f t="shared" si="41"/>
        <v>110000</v>
      </c>
      <c r="V102" s="70">
        <f t="shared" si="42"/>
        <v>110000</v>
      </c>
      <c r="W102" s="47">
        <f t="shared" si="44"/>
        <v>110000</v>
      </c>
      <c r="X102" s="4"/>
      <c r="Y102" s="4" t="s">
        <v>137</v>
      </c>
    </row>
    <row r="103" spans="1:25" x14ac:dyDescent="0.2">
      <c r="A103" s="4" t="s">
        <v>286</v>
      </c>
      <c r="B103" s="7">
        <v>30000</v>
      </c>
      <c r="C103" s="47"/>
      <c r="D103" s="7"/>
      <c r="E103" s="7"/>
      <c r="F103" s="7"/>
      <c r="G103" s="59"/>
      <c r="H103" s="4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v>10000</v>
      </c>
      <c r="T103" s="7"/>
      <c r="U103" s="59">
        <f t="shared" si="41"/>
        <v>10000</v>
      </c>
      <c r="V103" s="70">
        <f t="shared" si="42"/>
        <v>10000</v>
      </c>
      <c r="W103" s="47">
        <f t="shared" si="44"/>
        <v>-20000</v>
      </c>
      <c r="X103" s="4"/>
      <c r="Y103" s="4"/>
    </row>
    <row r="104" spans="1:25" x14ac:dyDescent="0.2">
      <c r="A104" s="4" t="s">
        <v>290</v>
      </c>
      <c r="B104" s="7"/>
      <c r="C104" s="47"/>
      <c r="D104" s="7"/>
      <c r="E104" s="7"/>
      <c r="F104" s="7"/>
      <c r="G104" s="59"/>
      <c r="H104" s="4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>
        <v>70667</v>
      </c>
      <c r="T104" s="7"/>
      <c r="U104" s="59">
        <f t="shared" si="41"/>
        <v>70667</v>
      </c>
      <c r="V104" s="70">
        <f t="shared" si="42"/>
        <v>70667</v>
      </c>
      <c r="W104" s="47"/>
      <c r="X104" s="4"/>
      <c r="Y104" s="4"/>
    </row>
    <row r="105" spans="1:25" x14ac:dyDescent="0.2">
      <c r="A105" s="4" t="s">
        <v>214</v>
      </c>
      <c r="B105" s="7">
        <v>80000</v>
      </c>
      <c r="C105" s="47"/>
      <c r="D105" s="7"/>
      <c r="E105" s="7"/>
      <c r="F105" s="7"/>
      <c r="G105" s="59"/>
      <c r="H105" s="47"/>
      <c r="I105" s="7"/>
      <c r="J105" s="7"/>
      <c r="K105" s="7"/>
      <c r="L105" s="7"/>
      <c r="M105" s="7"/>
      <c r="N105" s="7"/>
      <c r="O105" s="7"/>
      <c r="R105" s="7"/>
      <c r="S105" s="7"/>
      <c r="T105" s="7"/>
      <c r="U105" s="59">
        <f t="shared" si="41"/>
        <v>0</v>
      </c>
      <c r="V105" s="70">
        <f t="shared" si="42"/>
        <v>0</v>
      </c>
      <c r="W105" s="47">
        <f>V105-B105</f>
        <v>-80000</v>
      </c>
      <c r="X105" s="4"/>
      <c r="Y105" s="4"/>
    </row>
    <row r="106" spans="1:25" x14ac:dyDescent="0.2">
      <c r="A106" s="4" t="s">
        <v>147</v>
      </c>
      <c r="B106" s="7">
        <v>74000</v>
      </c>
      <c r="C106" s="47"/>
      <c r="D106" s="7"/>
      <c r="E106" s="7"/>
      <c r="F106" s="7"/>
      <c r="G106" s="59"/>
      <c r="H106" s="47"/>
      <c r="I106" s="7"/>
      <c r="J106" s="7"/>
      <c r="K106" s="7"/>
      <c r="L106" s="7"/>
      <c r="M106" s="7"/>
      <c r="N106" s="7"/>
      <c r="O106" s="7"/>
      <c r="P106" s="7">
        <f>(2050000-677000)*(0.67+0.03)</f>
        <v>961100.00000000012</v>
      </c>
      <c r="Q106" s="7"/>
      <c r="R106" s="7"/>
      <c r="S106" s="7"/>
      <c r="T106" s="7"/>
      <c r="U106" s="59">
        <f t="shared" si="41"/>
        <v>961100.00000000012</v>
      </c>
      <c r="V106" s="70">
        <f t="shared" si="42"/>
        <v>961100.00000000012</v>
      </c>
      <c r="W106" s="47">
        <f>V106-B106</f>
        <v>887100.00000000012</v>
      </c>
      <c r="X106" s="4"/>
      <c r="Y106" s="4"/>
    </row>
    <row r="107" spans="1:25" x14ac:dyDescent="0.2">
      <c r="A107" s="4" t="s">
        <v>285</v>
      </c>
      <c r="B107" s="7"/>
      <c r="C107" s="47"/>
      <c r="D107" s="7"/>
      <c r="E107" s="7"/>
      <c r="F107" s="7"/>
      <c r="G107" s="59"/>
      <c r="H107" s="47"/>
      <c r="I107" s="7"/>
      <c r="J107" s="7"/>
      <c r="K107" s="7"/>
      <c r="L107" s="7"/>
      <c r="M107" s="7"/>
      <c r="N107" s="7"/>
      <c r="O107" s="7"/>
      <c r="P107" s="7"/>
      <c r="Q107" s="7">
        <f>Q83</f>
        <v>320182.49785873265</v>
      </c>
      <c r="R107" s="7"/>
      <c r="S107" s="7"/>
      <c r="T107" s="7"/>
      <c r="U107" s="59">
        <f t="shared" si="41"/>
        <v>320182.49785873265</v>
      </c>
      <c r="V107" s="70">
        <f t="shared" si="42"/>
        <v>320182.49785873265</v>
      </c>
      <c r="W107" s="47"/>
      <c r="X107" s="4"/>
      <c r="Y107" s="4"/>
    </row>
    <row r="108" spans="1:25" x14ac:dyDescent="0.2">
      <c r="A108" s="4" t="s">
        <v>292</v>
      </c>
      <c r="B108" s="7"/>
      <c r="C108" s="47"/>
      <c r="D108" s="7"/>
      <c r="E108" s="7"/>
      <c r="F108" s="7"/>
      <c r="G108" s="59"/>
      <c r="H108" s="47"/>
      <c r="I108" s="7"/>
      <c r="J108" s="7"/>
      <c r="K108" s="7"/>
      <c r="L108" s="7"/>
      <c r="M108" s="7"/>
      <c r="N108" s="7"/>
      <c r="O108" s="7"/>
      <c r="P108" s="7">
        <v>25000</v>
      </c>
      <c r="Q108" s="7"/>
      <c r="R108" s="7"/>
      <c r="S108" s="7"/>
      <c r="T108" s="7"/>
      <c r="U108" s="59">
        <f t="shared" ref="U108" si="45">H108+I108+J108+K108+L108+M108+N108+O108+P108+Q108+R108+S108+T108</f>
        <v>25000</v>
      </c>
      <c r="V108" s="70">
        <f t="shared" ref="V108" si="46">G108+U108</f>
        <v>25000</v>
      </c>
      <c r="W108" s="47"/>
      <c r="X108" s="4"/>
      <c r="Y108" s="4"/>
    </row>
    <row r="109" spans="1:25" x14ac:dyDescent="0.2">
      <c r="A109" s="4" t="s">
        <v>107</v>
      </c>
      <c r="B109" s="7">
        <v>24000</v>
      </c>
      <c r="C109" s="47"/>
      <c r="D109" s="7"/>
      <c r="E109" s="7"/>
      <c r="F109" s="7">
        <v>18000</v>
      </c>
      <c r="G109" s="59">
        <v>15000</v>
      </c>
      <c r="H109" s="4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59">
        <f t="shared" si="41"/>
        <v>0</v>
      </c>
      <c r="V109" s="70">
        <f t="shared" si="42"/>
        <v>15000</v>
      </c>
      <c r="W109" s="47">
        <f t="shared" ref="W109:W116" si="47">V109-B109</f>
        <v>-9000</v>
      </c>
      <c r="X109" s="4"/>
      <c r="Y109" s="4" t="s">
        <v>138</v>
      </c>
    </row>
    <row r="110" spans="1:25" x14ac:dyDescent="0.2">
      <c r="A110" s="4" t="s">
        <v>51</v>
      </c>
      <c r="B110" s="7">
        <v>9000</v>
      </c>
      <c r="C110" s="47"/>
      <c r="D110" s="7"/>
      <c r="E110" s="7"/>
      <c r="F110" s="7">
        <v>12000</v>
      </c>
      <c r="G110" s="59">
        <v>7500</v>
      </c>
      <c r="H110" s="4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59">
        <f t="shared" si="41"/>
        <v>0</v>
      </c>
      <c r="V110" s="70">
        <f t="shared" si="42"/>
        <v>7500</v>
      </c>
      <c r="W110" s="47">
        <f t="shared" si="47"/>
        <v>-1500</v>
      </c>
      <c r="X110" s="4"/>
      <c r="Y110" s="4" t="s">
        <v>139</v>
      </c>
    </row>
    <row r="111" spans="1:25" x14ac:dyDescent="0.2">
      <c r="A111" s="4" t="s">
        <v>46</v>
      </c>
      <c r="B111" s="7">
        <v>17400</v>
      </c>
      <c r="C111" s="47"/>
      <c r="D111" s="7"/>
      <c r="E111" s="7"/>
      <c r="F111" s="7">
        <v>2400</v>
      </c>
      <c r="G111" s="59">
        <v>2400</v>
      </c>
      <c r="H111" s="4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>
        <v>15000</v>
      </c>
      <c r="U111" s="59">
        <f t="shared" si="41"/>
        <v>15000</v>
      </c>
      <c r="V111" s="70">
        <f t="shared" si="42"/>
        <v>17400</v>
      </c>
      <c r="W111" s="47">
        <f t="shared" si="47"/>
        <v>0</v>
      </c>
      <c r="X111" s="4"/>
      <c r="Y111" s="4" t="s">
        <v>118</v>
      </c>
    </row>
    <row r="112" spans="1:25" x14ac:dyDescent="0.2">
      <c r="A112" s="4" t="s">
        <v>52</v>
      </c>
      <c r="B112" s="7">
        <v>0</v>
      </c>
      <c r="C112" s="47"/>
      <c r="D112" s="7"/>
      <c r="E112" s="7"/>
      <c r="F112" s="7"/>
      <c r="G112" s="59">
        <f t="shared" ref="G112:G118" si="48">C112+D112+F112</f>
        <v>0</v>
      </c>
      <c r="H112" s="4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59">
        <f t="shared" si="41"/>
        <v>0</v>
      </c>
      <c r="V112" s="70">
        <f t="shared" si="42"/>
        <v>0</v>
      </c>
      <c r="W112" s="47">
        <f t="shared" si="47"/>
        <v>0</v>
      </c>
      <c r="X112" s="4"/>
      <c r="Y112" s="4" t="s">
        <v>85</v>
      </c>
    </row>
    <row r="113" spans="1:25" x14ac:dyDescent="0.2">
      <c r="A113" s="4" t="s">
        <v>102</v>
      </c>
      <c r="B113" s="7">
        <v>27000</v>
      </c>
      <c r="C113" s="47"/>
      <c r="D113" s="33"/>
      <c r="E113" s="33"/>
      <c r="F113" s="33">
        <v>9000</v>
      </c>
      <c r="G113" s="59">
        <f t="shared" si="48"/>
        <v>9000</v>
      </c>
      <c r="H113" s="47"/>
      <c r="I113" s="7"/>
      <c r="J113" s="7"/>
      <c r="K113" s="7"/>
      <c r="L113" s="7"/>
      <c r="M113" s="7"/>
      <c r="N113" s="7"/>
      <c r="O113" s="7"/>
      <c r="P113" s="7"/>
      <c r="Q113" s="7"/>
      <c r="R113" s="8"/>
      <c r="S113" s="7"/>
      <c r="T113" s="33">
        <v>18000</v>
      </c>
      <c r="U113" s="59">
        <f t="shared" si="41"/>
        <v>18000</v>
      </c>
      <c r="V113" s="70">
        <f t="shared" si="42"/>
        <v>27000</v>
      </c>
      <c r="W113" s="47">
        <f t="shared" si="47"/>
        <v>0</v>
      </c>
      <c r="X113" s="4"/>
      <c r="Y113" s="4" t="s">
        <v>119</v>
      </c>
    </row>
    <row r="114" spans="1:25" x14ac:dyDescent="0.2">
      <c r="A114" s="4" t="s">
        <v>103</v>
      </c>
      <c r="B114" s="7">
        <v>36000</v>
      </c>
      <c r="C114" s="47"/>
      <c r="D114" s="34"/>
      <c r="E114" s="34"/>
      <c r="F114" s="39"/>
      <c r="G114" s="59">
        <f t="shared" si="48"/>
        <v>0</v>
      </c>
      <c r="H114" s="47"/>
      <c r="I114" s="7"/>
      <c r="J114" s="7"/>
      <c r="K114" s="7"/>
      <c r="L114" s="7"/>
      <c r="M114" s="7"/>
      <c r="N114" s="7"/>
      <c r="O114" s="7"/>
      <c r="P114" s="7"/>
      <c r="Q114" s="7"/>
      <c r="R114" s="8"/>
      <c r="S114" s="7">
        <v>30000</v>
      </c>
      <c r="T114" s="8"/>
      <c r="U114" s="59">
        <f t="shared" si="41"/>
        <v>30000</v>
      </c>
      <c r="V114" s="70">
        <f t="shared" si="42"/>
        <v>30000</v>
      </c>
      <c r="W114" s="47">
        <f t="shared" si="47"/>
        <v>-6000</v>
      </c>
      <c r="X114" s="4"/>
      <c r="Y114" s="4" t="s">
        <v>229</v>
      </c>
    </row>
    <row r="115" spans="1:25" x14ac:dyDescent="0.2">
      <c r="A115" s="4" t="s">
        <v>104</v>
      </c>
      <c r="B115" s="7">
        <v>78000</v>
      </c>
      <c r="C115" s="47"/>
      <c r="D115" s="7"/>
      <c r="E115" s="7"/>
      <c r="F115" s="33">
        <v>12000</v>
      </c>
      <c r="G115" s="59">
        <f t="shared" si="48"/>
        <v>12000</v>
      </c>
      <c r="H115" s="47"/>
      <c r="I115" s="7"/>
      <c r="J115" s="7"/>
      <c r="K115" s="7"/>
      <c r="L115" s="7"/>
      <c r="M115" s="7"/>
      <c r="N115" s="7"/>
      <c r="O115" s="7"/>
      <c r="P115" s="7"/>
      <c r="Q115" s="7"/>
      <c r="R115" s="8"/>
      <c r="S115" s="7"/>
      <c r="T115" s="8"/>
      <c r="U115" s="59">
        <f t="shared" si="41"/>
        <v>0</v>
      </c>
      <c r="V115" s="70">
        <f t="shared" si="42"/>
        <v>12000</v>
      </c>
      <c r="W115" s="47">
        <f t="shared" si="47"/>
        <v>-66000</v>
      </c>
      <c r="X115" s="4"/>
      <c r="Y115" s="4" t="s">
        <v>108</v>
      </c>
    </row>
    <row r="116" spans="1:25" x14ac:dyDescent="0.2">
      <c r="A116" s="4" t="s">
        <v>149</v>
      </c>
      <c r="B116" s="7">
        <v>0</v>
      </c>
      <c r="C116" s="47"/>
      <c r="D116" s="7"/>
      <c r="E116" s="7"/>
      <c r="F116" s="39"/>
      <c r="G116" s="59">
        <f t="shared" si="48"/>
        <v>0</v>
      </c>
      <c r="H116" s="4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59">
        <f t="shared" si="41"/>
        <v>0</v>
      </c>
      <c r="V116" s="70">
        <f t="shared" si="42"/>
        <v>0</v>
      </c>
      <c r="W116" s="47">
        <f t="shared" si="47"/>
        <v>0</v>
      </c>
      <c r="X116" s="4"/>
      <c r="Y116" s="4" t="s">
        <v>109</v>
      </c>
    </row>
    <row r="117" spans="1:25" x14ac:dyDescent="0.2">
      <c r="A117" s="4" t="s">
        <v>112</v>
      </c>
      <c r="B117" s="7">
        <v>20400</v>
      </c>
      <c r="C117" s="47"/>
      <c r="D117" s="7"/>
      <c r="E117" s="7"/>
      <c r="F117" s="39">
        <v>20400</v>
      </c>
      <c r="G117" s="59">
        <f t="shared" si="48"/>
        <v>20400</v>
      </c>
      <c r="H117" s="4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59">
        <f t="shared" si="41"/>
        <v>0</v>
      </c>
      <c r="V117" s="70">
        <f t="shared" si="42"/>
        <v>20400</v>
      </c>
      <c r="W117" s="47"/>
      <c r="X117" s="4"/>
      <c r="Y117" s="4"/>
    </row>
    <row r="118" spans="1:25" x14ac:dyDescent="0.2">
      <c r="A118" s="4" t="s">
        <v>38</v>
      </c>
      <c r="B118" s="7">
        <v>180</v>
      </c>
      <c r="C118" s="47"/>
      <c r="D118" s="7"/>
      <c r="E118" s="7"/>
      <c r="F118" s="7"/>
      <c r="G118" s="59">
        <f t="shared" si="48"/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>
        <v>180</v>
      </c>
      <c r="U118" s="59">
        <f t="shared" si="41"/>
        <v>180</v>
      </c>
      <c r="V118" s="70">
        <f t="shared" si="42"/>
        <v>180</v>
      </c>
      <c r="W118" s="7">
        <f>V118-B118</f>
        <v>0</v>
      </c>
      <c r="X118" s="4"/>
      <c r="Y118" s="4"/>
    </row>
    <row r="119" spans="1:25" x14ac:dyDescent="0.2">
      <c r="A119" s="87" t="s">
        <v>17</v>
      </c>
      <c r="B119" s="8">
        <f>SUM(B86:B118)</f>
        <v>1129220</v>
      </c>
      <c r="C119" s="48">
        <f>SUM(C86:C118)</f>
        <v>154112</v>
      </c>
      <c r="D119" s="8">
        <f>SUM(D86:D118)</f>
        <v>0</v>
      </c>
      <c r="E119" s="8"/>
      <c r="F119" s="8">
        <f t="shared" ref="F119:K119" si="49">SUM(F86:F118)</f>
        <v>208800</v>
      </c>
      <c r="G119" s="60">
        <f t="shared" si="49"/>
        <v>357412</v>
      </c>
      <c r="H119" s="8">
        <f t="shared" si="49"/>
        <v>14600</v>
      </c>
      <c r="I119" s="8">
        <f t="shared" si="49"/>
        <v>0</v>
      </c>
      <c r="J119" s="8">
        <f t="shared" si="49"/>
        <v>0</v>
      </c>
      <c r="K119" s="8">
        <f t="shared" si="49"/>
        <v>0</v>
      </c>
      <c r="L119" s="8">
        <f t="shared" ref="L119" si="50">SUM(L86:L118)</f>
        <v>0</v>
      </c>
      <c r="M119" s="8">
        <f>SUM(M86:M118)</f>
        <v>100000</v>
      </c>
      <c r="N119" s="8">
        <f>SUM(N86:N118)</f>
        <v>67972</v>
      </c>
      <c r="O119" s="8">
        <f>SUM(O86:O118)</f>
        <v>119000</v>
      </c>
      <c r="P119" s="8">
        <f>SUM(P86:P118)</f>
        <v>986100.00000000012</v>
      </c>
      <c r="Q119" s="8">
        <f t="shared" ref="Q119" si="51">SUM(Q86:Q118)</f>
        <v>320182.49785873265</v>
      </c>
      <c r="R119" s="8">
        <f t="shared" ref="R119:W119" si="52">SUM(R86:R118)</f>
        <v>20000</v>
      </c>
      <c r="S119" s="8">
        <f t="shared" si="52"/>
        <v>230667</v>
      </c>
      <c r="T119" s="8">
        <f t="shared" si="52"/>
        <v>293180</v>
      </c>
      <c r="U119" s="60">
        <f t="shared" si="52"/>
        <v>2151701.4978587329</v>
      </c>
      <c r="V119" s="107">
        <f t="shared" si="52"/>
        <v>2509113.4978587325</v>
      </c>
      <c r="W119" s="8">
        <f t="shared" si="52"/>
        <v>845044.00000000012</v>
      </c>
      <c r="X119" s="4"/>
      <c r="Y119" s="77">
        <f>W119/B119</f>
        <v>0.74834310408954863</v>
      </c>
    </row>
    <row r="120" spans="1:25" x14ac:dyDescent="0.2">
      <c r="A120" s="1" t="s">
        <v>18</v>
      </c>
      <c r="B120" s="8">
        <f>B119-B83+0.01</f>
        <v>-190182.49</v>
      </c>
      <c r="C120" s="48">
        <f>C119-C83</f>
        <v>8580.6988707747078</v>
      </c>
      <c r="D120" s="8">
        <f>D119-D83</f>
        <v>0</v>
      </c>
      <c r="E120" s="8"/>
      <c r="F120" s="8">
        <f t="shared" ref="F120:T120" si="53">F119-F83</f>
        <v>-54765.914155702281</v>
      </c>
      <c r="G120" s="60">
        <f t="shared" si="53"/>
        <v>-51685.215284927515</v>
      </c>
      <c r="H120" s="8">
        <f t="shared" si="53"/>
        <v>-3330.7402423333333</v>
      </c>
      <c r="I120" s="8">
        <f t="shared" si="53"/>
        <v>-77160.381253800006</v>
      </c>
      <c r="J120" s="8">
        <f t="shared" si="53"/>
        <v>-122030.82426090448</v>
      </c>
      <c r="K120" s="8">
        <f t="shared" si="53"/>
        <v>-57349.087672744456</v>
      </c>
      <c r="L120" s="8">
        <f t="shared" si="53"/>
        <v>-22609.077131333332</v>
      </c>
      <c r="M120" s="8">
        <f t="shared" si="53"/>
        <v>11402.120507258835</v>
      </c>
      <c r="N120" s="8">
        <f t="shared" si="53"/>
        <v>-5325.2687041441095</v>
      </c>
      <c r="O120" s="8">
        <f t="shared" si="53"/>
        <v>14951.374498998222</v>
      </c>
      <c r="P120" s="8">
        <f t="shared" si="53"/>
        <v>94892.786808062694</v>
      </c>
      <c r="Q120" s="8">
        <f t="shared" si="53"/>
        <v>0</v>
      </c>
      <c r="R120" s="8">
        <f t="shared" si="53"/>
        <v>-13404.501248749999</v>
      </c>
      <c r="S120" s="8">
        <f t="shared" si="53"/>
        <v>68859.570712746674</v>
      </c>
      <c r="T120" s="8">
        <f t="shared" si="53"/>
        <v>184482</v>
      </c>
      <c r="U120" s="60">
        <f>H120+I120+J120+K120+L120+M120+N120+O120+P120+Q120+R120+S120+T120</f>
        <v>73377.972013056744</v>
      </c>
      <c r="V120" s="107">
        <f>V119-V83</f>
        <v>22176.756728128996</v>
      </c>
      <c r="W120" s="8"/>
      <c r="X120" s="4"/>
      <c r="Y120" s="40">
        <f>V120/V119</f>
        <v>8.8384828932826474E-3</v>
      </c>
    </row>
    <row r="121" spans="1:25" x14ac:dyDescent="0.2">
      <c r="A121" s="1"/>
      <c r="B121" s="8"/>
      <c r="C121" s="8"/>
      <c r="D121" s="8"/>
      <c r="E121" s="8"/>
      <c r="F121" s="8"/>
      <c r="G121" s="60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60"/>
      <c r="V121" s="107">
        <f>-AF46</f>
        <v>-24489.061408000001</v>
      </c>
      <c r="W121" s="8" t="s">
        <v>299</v>
      </c>
      <c r="X121" s="4"/>
      <c r="Y121" s="40"/>
    </row>
    <row r="122" spans="1:25" x14ac:dyDescent="0.2">
      <c r="A122" s="1"/>
      <c r="B122" s="8"/>
      <c r="C122" s="8"/>
      <c r="D122" s="8"/>
      <c r="E122" s="8"/>
      <c r="F122" s="8"/>
      <c r="G122" s="60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60"/>
      <c r="V122" s="133">
        <f>V120+V121</f>
        <v>-2312.3046798710056</v>
      </c>
      <c r="W122" s="8"/>
      <c r="X122" s="4"/>
      <c r="Y122" s="40"/>
    </row>
    <row r="123" spans="1:25" x14ac:dyDescent="0.2">
      <c r="A123" s="1"/>
      <c r="B123" s="8"/>
      <c r="C123" s="8"/>
      <c r="D123" s="8"/>
      <c r="E123" s="8"/>
      <c r="F123" s="8"/>
      <c r="G123" s="60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60"/>
      <c r="V123" s="107"/>
      <c r="W123" s="8"/>
      <c r="X123" s="4"/>
      <c r="Y123" s="77"/>
    </row>
    <row r="124" spans="1:25" x14ac:dyDescent="0.2">
      <c r="A124" s="55" t="s">
        <v>303</v>
      </c>
      <c r="B124" s="8"/>
      <c r="C124" s="8"/>
      <c r="D124" s="8"/>
      <c r="E124" s="8"/>
      <c r="F124" s="92">
        <f>18000+5500</f>
        <v>23500</v>
      </c>
      <c r="G124" s="104">
        <f>C124+D124+F124</f>
        <v>23500</v>
      </c>
      <c r="H124" s="7"/>
      <c r="I124" s="7"/>
      <c r="J124" s="7"/>
      <c r="K124" s="7"/>
      <c r="L124" s="7"/>
      <c r="M124" s="92">
        <f>34500+12750</f>
        <v>47250</v>
      </c>
      <c r="N124" s="92">
        <f>17500</f>
        <v>17500</v>
      </c>
      <c r="O124" s="92"/>
      <c r="P124" s="92"/>
      <c r="Q124" s="92"/>
      <c r="R124" s="7"/>
      <c r="S124" s="92">
        <v>57200</v>
      </c>
      <c r="T124" s="7"/>
      <c r="U124" s="104">
        <f>H124+I124+J124+K124+M124+N124+P124+R124+S124+T124</f>
        <v>121950</v>
      </c>
      <c r="V124" s="108">
        <f>G124+U124</f>
        <v>145450</v>
      </c>
      <c r="W124" s="8"/>
      <c r="X124" s="4"/>
      <c r="Y124" s="77"/>
    </row>
    <row r="125" spans="1:25" x14ac:dyDescent="0.2">
      <c r="A125" s="55" t="s">
        <v>101</v>
      </c>
      <c r="B125" s="8"/>
      <c r="C125" s="8"/>
      <c r="D125" s="8"/>
      <c r="E125" s="8"/>
      <c r="F125" s="102">
        <f>F120+F124</f>
        <v>-31265.914155702281</v>
      </c>
      <c r="G125" s="105">
        <f>G120+G124</f>
        <v>-28185.215284927515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59"/>
      <c r="V125" s="109">
        <f>V120+V124</f>
        <v>167626.756728129</v>
      </c>
      <c r="W125" s="8"/>
      <c r="X125" s="4"/>
      <c r="Y125" s="77"/>
    </row>
    <row r="126" spans="1:25" x14ac:dyDescent="0.2">
      <c r="A126" s="55"/>
      <c r="B126" s="8"/>
      <c r="C126" s="8"/>
      <c r="D126" s="8"/>
      <c r="E126" s="8"/>
      <c r="F126" s="92"/>
      <c r="G126" s="104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59"/>
      <c r="V126" s="106">
        <v>0</v>
      </c>
      <c r="W126" s="8"/>
      <c r="X126" s="4"/>
      <c r="Y126" s="77"/>
    </row>
    <row r="127" spans="1:25" x14ac:dyDescent="0.2">
      <c r="A127" s="55" t="s">
        <v>220</v>
      </c>
      <c r="B127" s="101"/>
      <c r="C127" s="8"/>
      <c r="D127" s="101"/>
      <c r="E127" s="101"/>
      <c r="F127" s="102"/>
      <c r="G127" s="104"/>
      <c r="H127" s="9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92"/>
      <c r="T127" s="92"/>
      <c r="U127" s="104"/>
      <c r="V127" s="108">
        <v>0</v>
      </c>
      <c r="W127" s="8"/>
      <c r="X127" s="4"/>
      <c r="Y127" s="4"/>
    </row>
    <row r="128" spans="1:25" x14ac:dyDescent="0.2">
      <c r="A128" s="103" t="s">
        <v>215</v>
      </c>
      <c r="B128" s="101"/>
      <c r="C128" s="8"/>
      <c r="D128" s="101"/>
      <c r="E128" s="101"/>
      <c r="F128" s="92">
        <v>33615.300000000003</v>
      </c>
      <c r="G128" s="104">
        <f>C128+D128+F128</f>
        <v>33615.300000000003</v>
      </c>
      <c r="H128" s="9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92"/>
      <c r="T128" s="92">
        <v>25216.82</v>
      </c>
      <c r="U128" s="104">
        <f>H128+I128+J128+M128+N128+P128+R128+S128+T128</f>
        <v>25216.82</v>
      </c>
      <c r="V128" s="108">
        <f>G128+U128</f>
        <v>58832.12</v>
      </c>
      <c r="W128" s="8"/>
      <c r="X128" s="4"/>
      <c r="Y128" s="4"/>
    </row>
    <row r="129" spans="1:25" x14ac:dyDescent="0.2">
      <c r="A129" s="103" t="s">
        <v>216</v>
      </c>
      <c r="B129" s="101"/>
      <c r="C129" s="8"/>
      <c r="D129" s="101"/>
      <c r="E129" s="101"/>
      <c r="F129" s="92"/>
      <c r="G129" s="104"/>
      <c r="H129" s="92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92"/>
      <c r="T129" s="92">
        <v>42841</v>
      </c>
      <c r="U129" s="104">
        <f>H129+I129+J129+M129+N129+P129+R129+S129+T129</f>
        <v>42841</v>
      </c>
      <c r="V129" s="108">
        <f>G129+U129</f>
        <v>42841</v>
      </c>
      <c r="W129" s="8"/>
      <c r="X129" s="4"/>
      <c r="Y129" s="4"/>
    </row>
    <row r="130" spans="1:25" x14ac:dyDescent="0.2">
      <c r="A130" s="103" t="s">
        <v>217</v>
      </c>
      <c r="B130" s="101"/>
      <c r="C130" s="8"/>
      <c r="D130" s="101"/>
      <c r="E130" s="101"/>
      <c r="F130" s="92"/>
      <c r="G130" s="104"/>
      <c r="H130" s="92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92"/>
      <c r="T130" s="92">
        <v>37595</v>
      </c>
      <c r="U130" s="104">
        <f>H130+I130+J130+M130+N130+P130+R130+S130+T130</f>
        <v>37595</v>
      </c>
      <c r="V130" s="108">
        <f>G130+U130</f>
        <v>37595</v>
      </c>
      <c r="W130" s="8"/>
      <c r="X130" s="4"/>
      <c r="Y130" s="4"/>
    </row>
    <row r="131" spans="1:25" x14ac:dyDescent="0.2">
      <c r="A131" s="103" t="s">
        <v>230</v>
      </c>
      <c r="B131" s="101"/>
      <c r="C131" s="8"/>
      <c r="D131" s="101"/>
      <c r="E131" s="101"/>
      <c r="F131" s="92"/>
      <c r="G131" s="104"/>
      <c r="H131" s="92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92"/>
      <c r="T131" s="92"/>
      <c r="U131" s="104"/>
      <c r="V131" s="108">
        <f>V128+V129+V130</f>
        <v>139268.12</v>
      </c>
      <c r="W131" s="8"/>
      <c r="X131" s="4"/>
      <c r="Y131" s="4"/>
    </row>
    <row r="132" spans="1:25" x14ac:dyDescent="0.2">
      <c r="A132" s="55" t="s">
        <v>101</v>
      </c>
      <c r="B132" s="8"/>
      <c r="C132" s="8"/>
      <c r="D132" s="8">
        <f>D120+D127</f>
        <v>0</v>
      </c>
      <c r="E132" s="8"/>
      <c r="F132" s="102">
        <f>F120+F124+F128</f>
        <v>2349.3858442977216</v>
      </c>
      <c r="G132" s="105">
        <f>G120+G124+G128</f>
        <v>5430.0847150724876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60"/>
      <c r="V132" s="106">
        <f>V120+V124+V128+V129+V130</f>
        <v>306894.87672812899</v>
      </c>
      <c r="W132" s="8"/>
      <c r="X132" s="4"/>
      <c r="Y132" s="4"/>
    </row>
    <row r="133" spans="1:25" x14ac:dyDescent="0.2">
      <c r="A133" s="5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4"/>
      <c r="Y133" s="4"/>
    </row>
    <row r="134" spans="1:25" hidden="1" x14ac:dyDescent="0.2">
      <c r="A134" s="35" t="s">
        <v>53</v>
      </c>
      <c r="B134" s="34">
        <v>418749.63639589999</v>
      </c>
      <c r="C134" s="48"/>
      <c r="D134" s="8"/>
      <c r="E134" s="8"/>
      <c r="F134" s="8"/>
      <c r="G134" s="62">
        <f>G89+G90+G113+G115-G132</f>
        <v>69569.915284927512</v>
      </c>
      <c r="H134" s="50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3"/>
      <c r="U134" s="34">
        <f>U89+U90+U113+U114-U120+U100</f>
        <v>50222.027986943256</v>
      </c>
      <c r="V134" s="50">
        <f>G134+U134</f>
        <v>119791.94327187077</v>
      </c>
      <c r="W134" s="47"/>
      <c r="X134" s="4"/>
      <c r="Y134" s="4"/>
    </row>
    <row r="135" spans="1:25" hidden="1" x14ac:dyDescent="0.2">
      <c r="A135" s="35" t="s">
        <v>58</v>
      </c>
      <c r="B135" s="34">
        <v>165000</v>
      </c>
      <c r="C135" s="48"/>
      <c r="D135" s="8"/>
      <c r="E135" s="8"/>
      <c r="F135" s="8"/>
      <c r="G135" s="62">
        <v>98000</v>
      </c>
      <c r="H135" s="50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>
        <v>80000</v>
      </c>
      <c r="V135" s="50">
        <v>165000</v>
      </c>
      <c r="W135" s="47"/>
      <c r="X135" s="4"/>
      <c r="Y135" s="4"/>
    </row>
    <row r="136" spans="1:25" x14ac:dyDescent="0.2">
      <c r="A136" s="1"/>
      <c r="B136" s="4"/>
      <c r="C136" s="7"/>
      <c r="D136" s="7"/>
      <c r="E136" s="7"/>
      <c r="F136" s="4"/>
      <c r="G136" s="4"/>
      <c r="H136" s="4"/>
      <c r="I136" s="4"/>
      <c r="J136" s="4"/>
      <c r="K136" s="4"/>
      <c r="L136" s="4"/>
      <c r="M136" s="2"/>
      <c r="V136" s="4"/>
    </row>
    <row r="137" spans="1:25" x14ac:dyDescent="0.2">
      <c r="B137" s="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2"/>
      <c r="N137" s="15"/>
      <c r="O137" s="15"/>
      <c r="V137" s="7"/>
    </row>
    <row r="138" spans="1:25" x14ac:dyDescent="0.2">
      <c r="B138" s="7"/>
      <c r="C138" s="32"/>
      <c r="D138" s="32"/>
      <c r="E138" s="32"/>
      <c r="F138" s="4"/>
      <c r="G138" s="4"/>
      <c r="H138" s="4"/>
      <c r="I138" s="4"/>
      <c r="J138" s="4"/>
      <c r="K138" s="4"/>
      <c r="L138" s="4"/>
      <c r="M138" s="2"/>
      <c r="V138" s="7"/>
    </row>
    <row r="139" spans="1:25" x14ac:dyDescent="0.2">
      <c r="A139" s="9"/>
      <c r="B139" s="4"/>
      <c r="C139" s="4"/>
      <c r="D139" s="4"/>
      <c r="E139" s="4"/>
      <c r="F139" s="4"/>
      <c r="G139" s="7"/>
      <c r="H139" s="4"/>
      <c r="I139" s="4"/>
      <c r="J139" s="4"/>
      <c r="K139" s="4"/>
      <c r="L139" s="4"/>
      <c r="M139" s="2"/>
      <c r="V139" s="4"/>
    </row>
    <row r="140" spans="1:25" x14ac:dyDescent="0.2">
      <c r="A140" s="1"/>
      <c r="B140" s="32"/>
      <c r="C140" s="1"/>
      <c r="D140" s="1"/>
      <c r="E140" s="1"/>
      <c r="F140" s="4"/>
      <c r="G140" s="4"/>
      <c r="H140" s="4"/>
      <c r="I140" s="4"/>
      <c r="J140" s="4"/>
      <c r="K140" s="4"/>
      <c r="L140" s="4"/>
      <c r="M140" s="2"/>
      <c r="V140" s="32"/>
    </row>
    <row r="141" spans="1:2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2"/>
      <c r="V141" s="4"/>
    </row>
    <row r="142" spans="1:25" x14ac:dyDescent="0.2">
      <c r="A142" s="4"/>
      <c r="B142" s="1"/>
      <c r="F142" s="1"/>
      <c r="G142" s="1"/>
      <c r="H142" s="1"/>
      <c r="I142" s="1"/>
      <c r="J142" s="1"/>
      <c r="K142" s="1"/>
      <c r="L142" s="1"/>
      <c r="M142" s="3"/>
      <c r="V142" s="1"/>
    </row>
    <row r="143" spans="1:25" x14ac:dyDescent="0.2">
      <c r="A143" s="4"/>
      <c r="B143" s="4"/>
      <c r="F143" s="4"/>
      <c r="G143" s="4"/>
      <c r="H143" s="4"/>
      <c r="I143" s="4"/>
      <c r="J143" s="4"/>
      <c r="K143" s="4"/>
      <c r="L143" s="4"/>
      <c r="M143" s="2"/>
      <c r="V143" s="4"/>
    </row>
  </sheetData>
  <phoneticPr fontId="0" type="noConversion"/>
  <pageMargins left="0.5" right="0.5" top="0.75" bottom="0.75" header="0.3" footer="0.3"/>
  <pageSetup scale="38" fitToHeight="0" orientation="portrait" r:id="rId1"/>
  <ignoredErrors>
    <ignoredError sqref="C55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992F-FC47-42C3-8E4A-E5D25F8B0B73}">
  <dimension ref="A1:B8"/>
  <sheetViews>
    <sheetView workbookViewId="0">
      <selection activeCell="B8" sqref="B8"/>
    </sheetView>
  </sheetViews>
  <sheetFormatPr defaultRowHeight="12.75" x14ac:dyDescent="0.2"/>
  <sheetData>
    <row r="1" spans="1:2" x14ac:dyDescent="0.2">
      <c r="A1">
        <v>0.05</v>
      </c>
    </row>
    <row r="2" spans="1:2" x14ac:dyDescent="0.2">
      <c r="A2">
        <v>0.25</v>
      </c>
    </row>
    <row r="3" spans="1:2" x14ac:dyDescent="0.2">
      <c r="A3">
        <v>0.05</v>
      </c>
    </row>
    <row r="4" spans="1:2" x14ac:dyDescent="0.2">
      <c r="A4">
        <v>0.1</v>
      </c>
    </row>
    <row r="5" spans="1:2" x14ac:dyDescent="0.2">
      <c r="A5">
        <v>0.75</v>
      </c>
    </row>
    <row r="6" spans="1:2" x14ac:dyDescent="0.2">
      <c r="A6">
        <v>1</v>
      </c>
    </row>
    <row r="7" spans="1:2" x14ac:dyDescent="0.2">
      <c r="A7">
        <v>0.4</v>
      </c>
    </row>
    <row r="8" spans="1:2" x14ac:dyDescent="0.2">
      <c r="A8">
        <f>SUM(A1:A7)</f>
        <v>2.6</v>
      </c>
      <c r="B8">
        <f>A8*40*52*90</f>
        <v>486720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C20" sqref="C20"/>
    </sheetView>
  </sheetViews>
  <sheetFormatPr defaultRowHeight="12.75" x14ac:dyDescent="0.2"/>
  <cols>
    <col min="1" max="2" width="15.7109375" customWidth="1"/>
    <col min="3" max="4" width="12.7109375" customWidth="1"/>
  </cols>
  <sheetData>
    <row r="1" spans="1:6" x14ac:dyDescent="0.2">
      <c r="A1" t="s">
        <v>177</v>
      </c>
    </row>
    <row r="2" spans="1:6" x14ac:dyDescent="0.2">
      <c r="A2" s="89" t="s">
        <v>178</v>
      </c>
      <c r="B2" s="89" t="s">
        <v>179</v>
      </c>
      <c r="C2" s="89" t="s">
        <v>24</v>
      </c>
      <c r="D2" s="89" t="s">
        <v>30</v>
      </c>
    </row>
    <row r="3" spans="1:6" x14ac:dyDescent="0.2">
      <c r="A3" t="s">
        <v>180</v>
      </c>
      <c r="B3" t="s">
        <v>181</v>
      </c>
      <c r="C3">
        <f>180*12</f>
        <v>2160</v>
      </c>
      <c r="D3">
        <v>0</v>
      </c>
    </row>
    <row r="4" spans="1:6" x14ac:dyDescent="0.2">
      <c r="A4" t="s">
        <v>182</v>
      </c>
      <c r="B4" t="s">
        <v>181</v>
      </c>
      <c r="D4">
        <f>180*12</f>
        <v>2160</v>
      </c>
    </row>
    <row r="5" spans="1:6" x14ac:dyDescent="0.2">
      <c r="A5" t="s">
        <v>183</v>
      </c>
      <c r="B5" t="s">
        <v>184</v>
      </c>
      <c r="C5">
        <f>36*6*12</f>
        <v>2592</v>
      </c>
      <c r="D5">
        <f>36*14*12</f>
        <v>6048</v>
      </c>
    </row>
    <row r="6" spans="1:6" x14ac:dyDescent="0.2">
      <c r="A6" t="s">
        <v>185</v>
      </c>
      <c r="B6" t="s">
        <v>186</v>
      </c>
      <c r="D6">
        <v>120</v>
      </c>
    </row>
    <row r="7" spans="1:6" x14ac:dyDescent="0.2">
      <c r="A7" t="s">
        <v>187</v>
      </c>
      <c r="B7" t="s">
        <v>186</v>
      </c>
      <c r="D7">
        <v>4600</v>
      </c>
    </row>
    <row r="8" spans="1:6" x14ac:dyDescent="0.2">
      <c r="A8" t="s">
        <v>188</v>
      </c>
      <c r="B8" t="s">
        <v>186</v>
      </c>
      <c r="D8">
        <f>120*6</f>
        <v>720</v>
      </c>
      <c r="F8" t="s">
        <v>189</v>
      </c>
    </row>
    <row r="9" spans="1:6" x14ac:dyDescent="0.2">
      <c r="A9" t="s">
        <v>190</v>
      </c>
      <c r="B9" t="s">
        <v>191</v>
      </c>
      <c r="D9">
        <f>600+1200</f>
        <v>1800</v>
      </c>
    </row>
    <row r="10" spans="1:6" x14ac:dyDescent="0.2">
      <c r="A10" t="s">
        <v>192</v>
      </c>
      <c r="B10" t="s">
        <v>193</v>
      </c>
      <c r="D10">
        <f>150*12</f>
        <v>1800</v>
      </c>
    </row>
    <row r="11" spans="1:6" x14ac:dyDescent="0.2">
      <c r="A11" t="s">
        <v>195</v>
      </c>
      <c r="B11" t="s">
        <v>194</v>
      </c>
      <c r="D11">
        <v>300</v>
      </c>
    </row>
    <row r="12" spans="1:6" x14ac:dyDescent="0.2">
      <c r="A12" t="s">
        <v>99</v>
      </c>
      <c r="B12" t="s">
        <v>199</v>
      </c>
      <c r="D12">
        <v>120</v>
      </c>
    </row>
    <row r="13" spans="1:6" x14ac:dyDescent="0.2">
      <c r="A13" t="s">
        <v>196</v>
      </c>
      <c r="B13" t="s">
        <v>93</v>
      </c>
      <c r="C13">
        <f>300/2</f>
        <v>150</v>
      </c>
      <c r="D13">
        <v>600</v>
      </c>
    </row>
    <row r="14" spans="1:6" x14ac:dyDescent="0.2">
      <c r="A14" t="s">
        <v>198</v>
      </c>
      <c r="B14" t="s">
        <v>197</v>
      </c>
      <c r="D14">
        <v>180</v>
      </c>
    </row>
    <row r="15" spans="1:6" x14ac:dyDescent="0.2">
      <c r="A15" t="s">
        <v>200</v>
      </c>
      <c r="B15" t="s">
        <v>201</v>
      </c>
      <c r="D15">
        <v>90</v>
      </c>
    </row>
    <row r="16" spans="1:6" x14ac:dyDescent="0.2">
      <c r="A16" t="s">
        <v>202</v>
      </c>
      <c r="B16" t="s">
        <v>203</v>
      </c>
      <c r="D16">
        <v>528</v>
      </c>
    </row>
    <row r="17" spans="1:6" x14ac:dyDescent="0.2">
      <c r="A17" t="s">
        <v>204</v>
      </c>
      <c r="B17" t="s">
        <v>184</v>
      </c>
      <c r="C17">
        <f>48*6</f>
        <v>288</v>
      </c>
      <c r="D17">
        <f>24*6</f>
        <v>144</v>
      </c>
      <c r="F17" t="s">
        <v>205</v>
      </c>
    </row>
    <row r="18" spans="1:6" x14ac:dyDescent="0.2">
      <c r="A18" t="s">
        <v>206</v>
      </c>
      <c r="B18" t="s">
        <v>207</v>
      </c>
      <c r="D18">
        <v>348</v>
      </c>
    </row>
    <row r="19" spans="1:6" x14ac:dyDescent="0.2">
      <c r="A19" t="s">
        <v>34</v>
      </c>
      <c r="B19" t="s">
        <v>208</v>
      </c>
      <c r="C19">
        <v>6600</v>
      </c>
      <c r="D19">
        <v>6600</v>
      </c>
    </row>
    <row r="20" spans="1:6" x14ac:dyDescent="0.2">
      <c r="C20">
        <f>SUM(C3:C19)</f>
        <v>11790</v>
      </c>
      <c r="D20">
        <f>SUM(D3:D19)</f>
        <v>26158</v>
      </c>
      <c r="E20">
        <f>SUM(C20:D20)</f>
        <v>37948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93" t="s">
        <v>221</v>
      </c>
      <c r="C1" s="93"/>
      <c r="D1" s="97"/>
      <c r="E1" s="97"/>
      <c r="F1" s="97"/>
    </row>
    <row r="2" spans="2:6" x14ac:dyDescent="0.2">
      <c r="B2" s="93" t="s">
        <v>222</v>
      </c>
      <c r="C2" s="93"/>
      <c r="D2" s="97"/>
      <c r="E2" s="97"/>
      <c r="F2" s="97"/>
    </row>
    <row r="3" spans="2:6" x14ac:dyDescent="0.2">
      <c r="B3" s="94"/>
      <c r="C3" s="94"/>
      <c r="D3" s="98"/>
      <c r="E3" s="98"/>
      <c r="F3" s="98"/>
    </row>
    <row r="4" spans="2:6" ht="25.5" x14ac:dyDescent="0.2">
      <c r="B4" s="94" t="s">
        <v>223</v>
      </c>
      <c r="C4" s="94"/>
      <c r="D4" s="98"/>
      <c r="E4" s="98"/>
      <c r="F4" s="98"/>
    </row>
    <row r="5" spans="2:6" x14ac:dyDescent="0.2">
      <c r="B5" s="94"/>
      <c r="C5" s="94"/>
      <c r="D5" s="98"/>
      <c r="E5" s="98"/>
      <c r="F5" s="98"/>
    </row>
    <row r="6" spans="2:6" x14ac:dyDescent="0.2">
      <c r="B6" s="93" t="s">
        <v>224</v>
      </c>
      <c r="C6" s="93"/>
      <c r="D6" s="97"/>
      <c r="E6" s="97" t="s">
        <v>225</v>
      </c>
      <c r="F6" s="97" t="s">
        <v>226</v>
      </c>
    </row>
    <row r="7" spans="2:6" ht="13.5" thickBot="1" x14ac:dyDescent="0.25">
      <c r="B7" s="94"/>
      <c r="C7" s="94"/>
      <c r="D7" s="98"/>
      <c r="E7" s="98"/>
      <c r="F7" s="98"/>
    </row>
    <row r="8" spans="2:6" ht="39" thickBot="1" x14ac:dyDescent="0.25">
      <c r="B8" s="95" t="s">
        <v>227</v>
      </c>
      <c r="C8" s="96"/>
      <c r="D8" s="99"/>
      <c r="E8" s="99">
        <v>29</v>
      </c>
      <c r="F8" s="100" t="s">
        <v>228</v>
      </c>
    </row>
    <row r="9" spans="2:6" x14ac:dyDescent="0.2">
      <c r="B9" s="94"/>
      <c r="C9" s="94"/>
      <c r="D9" s="98"/>
      <c r="E9" s="98"/>
      <c r="F9" s="98"/>
    </row>
    <row r="10" spans="2:6" x14ac:dyDescent="0.2">
      <c r="B10" s="94"/>
      <c r="C10" s="94"/>
      <c r="D10" s="98"/>
      <c r="E10" s="98"/>
      <c r="F10" s="9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7AFC-390E-48C9-87F6-8E43DEF9DDD3}">
  <dimension ref="A1:X26"/>
  <sheetViews>
    <sheetView workbookViewId="0">
      <selection activeCell="J21" sqref="J21"/>
    </sheetView>
  </sheetViews>
  <sheetFormatPr defaultRowHeight="12.75" x14ac:dyDescent="0.2"/>
  <cols>
    <col min="1" max="1" width="29.7109375" customWidth="1"/>
    <col min="2" max="2" width="12.28515625" style="66" customWidth="1"/>
    <col min="3" max="5" width="9.5703125" bestFit="1" customWidth="1"/>
    <col min="6" max="6" width="0" hidden="1" customWidth="1"/>
    <col min="7" max="9" width="9.28515625" bestFit="1" customWidth="1"/>
    <col min="10" max="11" width="9.5703125" bestFit="1" customWidth="1"/>
    <col min="12" max="14" width="9.28515625" bestFit="1" customWidth="1"/>
  </cols>
  <sheetData>
    <row r="1" spans="1:24" ht="15.75" x14ac:dyDescent="0.25">
      <c r="J1" s="115" t="s">
        <v>56</v>
      </c>
      <c r="N1" s="115" t="s">
        <v>266</v>
      </c>
      <c r="R1" s="115" t="s">
        <v>270</v>
      </c>
      <c r="V1" s="115" t="s">
        <v>267</v>
      </c>
    </row>
    <row r="2" spans="1:24" ht="15.75" x14ac:dyDescent="0.25">
      <c r="A2" s="114"/>
      <c r="B2" s="118"/>
      <c r="C2" s="115" t="s">
        <v>263</v>
      </c>
      <c r="D2" s="115" t="s">
        <v>264</v>
      </c>
      <c r="E2" s="115" t="s">
        <v>265</v>
      </c>
      <c r="F2" s="115"/>
      <c r="G2" s="115" t="s">
        <v>268</v>
      </c>
      <c r="H2" s="115" t="s">
        <v>269</v>
      </c>
      <c r="I2" s="115"/>
      <c r="J2" s="115" t="s">
        <v>262</v>
      </c>
      <c r="K2" s="115" t="s">
        <v>263</v>
      </c>
      <c r="L2" s="115" t="s">
        <v>264</v>
      </c>
      <c r="M2" s="115"/>
      <c r="N2" s="115" t="s">
        <v>262</v>
      </c>
      <c r="O2" s="115" t="s">
        <v>263</v>
      </c>
      <c r="P2" s="115" t="s">
        <v>264</v>
      </c>
      <c r="R2" s="115" t="s">
        <v>262</v>
      </c>
      <c r="S2" s="115" t="s">
        <v>263</v>
      </c>
      <c r="T2" s="115" t="s">
        <v>264</v>
      </c>
      <c r="V2" s="115" t="s">
        <v>271</v>
      </c>
      <c r="W2" s="115" t="s">
        <v>263</v>
      </c>
      <c r="X2" s="115" t="s">
        <v>264</v>
      </c>
    </row>
    <row r="3" spans="1:24" ht="15.75" x14ac:dyDescent="0.25">
      <c r="A3" s="117" t="s">
        <v>156</v>
      </c>
      <c r="B3" s="117"/>
      <c r="C3" s="116">
        <v>20686.599999999999</v>
      </c>
      <c r="D3" s="116">
        <v>33597.4</v>
      </c>
      <c r="E3" s="116">
        <v>54284</v>
      </c>
      <c r="F3" s="116"/>
      <c r="G3" s="120">
        <f>C3/E3</f>
        <v>0.38108098150467906</v>
      </c>
      <c r="H3" s="120">
        <f>D3/E3</f>
        <v>0.61891901849532094</v>
      </c>
      <c r="I3" s="114"/>
      <c r="J3" s="116">
        <f>(1268.9+8)+((1395.42+8)*11)</f>
        <v>16714.52</v>
      </c>
      <c r="K3" s="114">
        <f>G3*J3</f>
        <v>6369.585686979588</v>
      </c>
      <c r="L3" s="114">
        <f>H3*J3</f>
        <v>10344.934313020412</v>
      </c>
      <c r="M3" s="114"/>
      <c r="N3" s="114">
        <f>95.82+(149.3*11)</f>
        <v>1738.1200000000001</v>
      </c>
      <c r="O3" s="116">
        <f>G3*N3</f>
        <v>662.36447557291285</v>
      </c>
      <c r="P3" s="116">
        <f>H3*N3</f>
        <v>1075.7555244270873</v>
      </c>
      <c r="R3" s="116">
        <f>19.2*12</f>
        <v>230.39999999999998</v>
      </c>
      <c r="S3" s="116">
        <f>R3*G3</f>
        <v>87.801058138678044</v>
      </c>
      <c r="T3" s="116">
        <f>R3*H3</f>
        <v>142.59894186132192</v>
      </c>
      <c r="V3" s="123">
        <f>11100*0.003</f>
        <v>33.299999999999997</v>
      </c>
      <c r="W3" s="123">
        <f>G3*V3</f>
        <v>12.689996684105811</v>
      </c>
      <c r="X3" s="123">
        <f>V3*H3</f>
        <v>20.610003315894186</v>
      </c>
    </row>
    <row r="4" spans="1:24" ht="15.75" x14ac:dyDescent="0.25">
      <c r="A4" s="117" t="s">
        <v>232</v>
      </c>
      <c r="B4" s="117"/>
      <c r="C4" s="116">
        <v>15120</v>
      </c>
      <c r="D4" s="116">
        <v>10080</v>
      </c>
      <c r="E4" s="116">
        <v>25200</v>
      </c>
      <c r="F4" s="116"/>
      <c r="G4" s="116">
        <f t="shared" ref="G4:G10" si="0">C4/E4</f>
        <v>0.6</v>
      </c>
      <c r="H4" s="116">
        <f t="shared" ref="H4:H10" si="1">D4/E4</f>
        <v>0.4</v>
      </c>
      <c r="I4" s="114"/>
      <c r="J4" s="116">
        <f>(813.02+8)*5</f>
        <v>4105.1000000000004</v>
      </c>
      <c r="K4" s="114">
        <f t="shared" ref="K4:K10" si="2">G4*J4</f>
        <v>2463.06</v>
      </c>
      <c r="L4" s="114">
        <f t="shared" ref="L4:L10" si="3">H4*J4</f>
        <v>1642.0400000000002</v>
      </c>
      <c r="M4" s="114"/>
      <c r="N4" s="114">
        <f>43.86*6</f>
        <v>263.15999999999997</v>
      </c>
      <c r="O4" s="116">
        <f t="shared" ref="O4:O10" si="4">G4*N4</f>
        <v>157.89599999999999</v>
      </c>
      <c r="P4" s="116">
        <f t="shared" ref="P4:P10" si="5">H4*N4</f>
        <v>105.264</v>
      </c>
      <c r="R4" s="116">
        <f>19.2*6</f>
        <v>115.19999999999999</v>
      </c>
      <c r="S4" s="116">
        <f t="shared" ref="S4:S10" si="6">R4*G4</f>
        <v>69.11999999999999</v>
      </c>
      <c r="T4" s="116">
        <f t="shared" ref="T4:T10" si="7">R4*H4</f>
        <v>46.08</v>
      </c>
      <c r="V4">
        <f t="shared" ref="V4:V10" si="8">11100*0.003</f>
        <v>33.299999999999997</v>
      </c>
      <c r="W4">
        <f t="shared" ref="W4:W10" si="9">G4*V4</f>
        <v>19.979999999999997</v>
      </c>
      <c r="X4">
        <f t="shared" ref="X4:X10" si="10">V4*H4</f>
        <v>13.32</v>
      </c>
    </row>
    <row r="5" spans="1:24" ht="15.75" x14ac:dyDescent="0.25">
      <c r="A5" s="117" t="s">
        <v>232</v>
      </c>
      <c r="B5" s="117"/>
      <c r="C5" s="116">
        <v>5040</v>
      </c>
      <c r="D5" s="116">
        <v>20160</v>
      </c>
      <c r="E5" s="116">
        <v>25200</v>
      </c>
      <c r="F5" s="116"/>
      <c r="G5" s="116">
        <f t="shared" si="0"/>
        <v>0.2</v>
      </c>
      <c r="H5" s="116">
        <f t="shared" si="1"/>
        <v>0.8</v>
      </c>
      <c r="I5" s="114"/>
      <c r="J5" s="116">
        <f>(833.64+8)*5</f>
        <v>4208.2</v>
      </c>
      <c r="K5" s="114">
        <f t="shared" si="2"/>
        <v>841.64</v>
      </c>
      <c r="L5" s="114">
        <f t="shared" si="3"/>
        <v>3366.56</v>
      </c>
      <c r="M5" s="114"/>
      <c r="N5" s="114">
        <f>43.86*6</f>
        <v>263.15999999999997</v>
      </c>
      <c r="O5" s="116">
        <f t="shared" si="4"/>
        <v>52.631999999999998</v>
      </c>
      <c r="P5" s="116">
        <f t="shared" si="5"/>
        <v>210.52799999999999</v>
      </c>
      <c r="R5" s="116">
        <f>19.2*6</f>
        <v>115.19999999999999</v>
      </c>
      <c r="S5" s="116">
        <f t="shared" si="6"/>
        <v>23.04</v>
      </c>
      <c r="T5" s="116">
        <f t="shared" si="7"/>
        <v>92.16</v>
      </c>
      <c r="V5">
        <f t="shared" si="8"/>
        <v>33.299999999999997</v>
      </c>
      <c r="W5">
        <f t="shared" si="9"/>
        <v>6.66</v>
      </c>
      <c r="X5">
        <f t="shared" si="10"/>
        <v>26.64</v>
      </c>
    </row>
    <row r="6" spans="1:24" ht="15.75" x14ac:dyDescent="0.25">
      <c r="A6" s="117" t="s">
        <v>231</v>
      </c>
      <c r="B6" s="117"/>
      <c r="C6" s="116">
        <v>8076</v>
      </c>
      <c r="D6" s="116">
        <v>8076</v>
      </c>
      <c r="E6" s="116">
        <v>16152</v>
      </c>
      <c r="F6" s="116"/>
      <c r="G6" s="116">
        <f t="shared" si="0"/>
        <v>0.5</v>
      </c>
      <c r="H6" s="116">
        <f t="shared" si="1"/>
        <v>0.5</v>
      </c>
      <c r="I6" s="114"/>
      <c r="J6" s="114">
        <f>(833.64+8)*4</f>
        <v>3366.56</v>
      </c>
      <c r="K6" s="114">
        <f t="shared" si="2"/>
        <v>1683.28</v>
      </c>
      <c r="L6" s="114">
        <f t="shared" si="3"/>
        <v>1683.28</v>
      </c>
      <c r="M6" s="114"/>
      <c r="N6" s="114">
        <f>43.86*4</f>
        <v>175.44</v>
      </c>
      <c r="O6" s="116">
        <f t="shared" si="4"/>
        <v>87.72</v>
      </c>
      <c r="P6" s="116">
        <f t="shared" si="5"/>
        <v>87.72</v>
      </c>
      <c r="R6" s="116">
        <f>19.2*4</f>
        <v>76.8</v>
      </c>
      <c r="S6" s="116">
        <f t="shared" si="6"/>
        <v>38.4</v>
      </c>
      <c r="T6" s="116">
        <f t="shared" si="7"/>
        <v>38.4</v>
      </c>
      <c r="V6">
        <f t="shared" si="8"/>
        <v>33.299999999999997</v>
      </c>
      <c r="W6">
        <f t="shared" si="9"/>
        <v>16.649999999999999</v>
      </c>
      <c r="X6">
        <f t="shared" si="10"/>
        <v>16.649999999999999</v>
      </c>
    </row>
    <row r="7" spans="1:24" ht="15.75" x14ac:dyDescent="0.25">
      <c r="A7" s="117" t="s">
        <v>140</v>
      </c>
      <c r="B7" s="117"/>
      <c r="C7" s="116">
        <v>11549</v>
      </c>
      <c r="D7" s="116">
        <v>11549</v>
      </c>
      <c r="E7" s="116">
        <v>23098</v>
      </c>
      <c r="F7" s="116"/>
      <c r="G7" s="116">
        <f t="shared" si="0"/>
        <v>0.5</v>
      </c>
      <c r="H7" s="116">
        <f t="shared" si="1"/>
        <v>0.5</v>
      </c>
      <c r="I7" s="114"/>
      <c r="J7" s="114">
        <f>240*5</f>
        <v>1200</v>
      </c>
      <c r="K7" s="114">
        <f t="shared" si="2"/>
        <v>600</v>
      </c>
      <c r="L7" s="114">
        <f t="shared" si="3"/>
        <v>600</v>
      </c>
      <c r="M7" s="114"/>
      <c r="N7" s="114">
        <f>149.3*5</f>
        <v>746.5</v>
      </c>
      <c r="O7" s="116">
        <f t="shared" si="4"/>
        <v>373.25</v>
      </c>
      <c r="P7" s="116">
        <f t="shared" si="5"/>
        <v>373.25</v>
      </c>
      <c r="R7" s="116">
        <f>19.2*5</f>
        <v>96</v>
      </c>
      <c r="S7" s="116">
        <f t="shared" si="6"/>
        <v>48</v>
      </c>
      <c r="T7" s="116">
        <f t="shared" si="7"/>
        <v>48</v>
      </c>
      <c r="V7">
        <f t="shared" si="8"/>
        <v>33.299999999999997</v>
      </c>
      <c r="W7">
        <f t="shared" si="9"/>
        <v>16.649999999999999</v>
      </c>
      <c r="X7">
        <f t="shared" si="10"/>
        <v>16.649999999999999</v>
      </c>
    </row>
    <row r="8" spans="1:24" ht="15.75" x14ac:dyDescent="0.25">
      <c r="A8" s="117" t="s">
        <v>111</v>
      </c>
      <c r="B8" s="117"/>
      <c r="C8" s="116">
        <v>19897.125</v>
      </c>
      <c r="D8" s="116">
        <v>19897.125</v>
      </c>
      <c r="E8" s="116">
        <v>39794.25</v>
      </c>
      <c r="F8" s="116"/>
      <c r="G8" s="116">
        <f t="shared" si="0"/>
        <v>0.5</v>
      </c>
      <c r="H8" s="116">
        <f t="shared" si="1"/>
        <v>0.5</v>
      </c>
      <c r="I8" s="114"/>
      <c r="J8" s="114">
        <f>240*12</f>
        <v>2880</v>
      </c>
      <c r="K8" s="114">
        <f t="shared" si="2"/>
        <v>1440</v>
      </c>
      <c r="L8" s="114">
        <f t="shared" si="3"/>
        <v>1440</v>
      </c>
      <c r="M8" s="114"/>
      <c r="N8" s="114">
        <f>43.86*12</f>
        <v>526.31999999999994</v>
      </c>
      <c r="O8" s="116">
        <f t="shared" si="4"/>
        <v>263.15999999999997</v>
      </c>
      <c r="P8" s="116">
        <f t="shared" si="5"/>
        <v>263.15999999999997</v>
      </c>
      <c r="R8" s="116">
        <f>19.2*12</f>
        <v>230.39999999999998</v>
      </c>
      <c r="S8" s="116">
        <f t="shared" si="6"/>
        <v>115.19999999999999</v>
      </c>
      <c r="T8" s="116">
        <f t="shared" si="7"/>
        <v>115.19999999999999</v>
      </c>
      <c r="V8">
        <f t="shared" si="8"/>
        <v>33.299999999999997</v>
      </c>
      <c r="W8">
        <f t="shared" si="9"/>
        <v>16.649999999999999</v>
      </c>
      <c r="X8">
        <f t="shared" si="10"/>
        <v>16.649999999999999</v>
      </c>
    </row>
    <row r="9" spans="1:24" ht="15.75" x14ac:dyDescent="0.25">
      <c r="A9" s="118" t="s">
        <v>234</v>
      </c>
      <c r="B9" s="118"/>
      <c r="C9" s="116"/>
      <c r="D9" s="116">
        <v>18179.333333333332</v>
      </c>
      <c r="E9" s="116">
        <v>18179.333333333332</v>
      </c>
      <c r="F9" s="116"/>
      <c r="G9" s="116">
        <f t="shared" si="0"/>
        <v>0</v>
      </c>
      <c r="H9" s="116">
        <f t="shared" si="1"/>
        <v>1</v>
      </c>
      <c r="I9" s="114"/>
      <c r="J9" s="114">
        <f>240*10/2</f>
        <v>1200</v>
      </c>
      <c r="K9" s="114">
        <f t="shared" si="2"/>
        <v>0</v>
      </c>
      <c r="L9" s="114">
        <f t="shared" si="3"/>
        <v>1200</v>
      </c>
      <c r="M9" s="114"/>
      <c r="N9" s="114">
        <f>97.39*10/5</f>
        <v>194.78</v>
      </c>
      <c r="O9" s="116">
        <f t="shared" si="4"/>
        <v>0</v>
      </c>
      <c r="P9" s="116">
        <f t="shared" si="5"/>
        <v>194.78</v>
      </c>
      <c r="R9" s="116">
        <f t="shared" ref="R9" si="11">19.2*6</f>
        <v>115.19999999999999</v>
      </c>
      <c r="S9" s="116">
        <f t="shared" si="6"/>
        <v>0</v>
      </c>
      <c r="T9" s="116">
        <f t="shared" si="7"/>
        <v>115.19999999999999</v>
      </c>
      <c r="V9">
        <f t="shared" si="8"/>
        <v>33.299999999999997</v>
      </c>
      <c r="W9">
        <f t="shared" si="9"/>
        <v>0</v>
      </c>
      <c r="X9">
        <f t="shared" si="10"/>
        <v>33.299999999999997</v>
      </c>
    </row>
    <row r="10" spans="1:24" ht="15.75" x14ac:dyDescent="0.25">
      <c r="A10" s="117" t="s">
        <v>86</v>
      </c>
      <c r="B10" s="117"/>
      <c r="C10" s="122"/>
      <c r="D10" s="122">
        <v>17800</v>
      </c>
      <c r="E10" s="119">
        <v>17800</v>
      </c>
      <c r="F10" s="119"/>
      <c r="G10" s="122">
        <f t="shared" si="0"/>
        <v>0</v>
      </c>
      <c r="H10" s="122">
        <f t="shared" si="1"/>
        <v>1</v>
      </c>
      <c r="I10" s="114"/>
      <c r="J10" s="119">
        <v>0</v>
      </c>
      <c r="K10" s="119">
        <f t="shared" si="2"/>
        <v>0</v>
      </c>
      <c r="L10" s="119">
        <f t="shared" si="3"/>
        <v>0</v>
      </c>
      <c r="M10" s="114"/>
      <c r="N10" s="119">
        <v>0</v>
      </c>
      <c r="O10" s="122">
        <f t="shared" si="4"/>
        <v>0</v>
      </c>
      <c r="P10" s="122">
        <f t="shared" si="5"/>
        <v>0</v>
      </c>
      <c r="R10" s="122">
        <v>0</v>
      </c>
      <c r="S10" s="122">
        <f t="shared" si="6"/>
        <v>0</v>
      </c>
      <c r="T10" s="122">
        <f t="shared" si="7"/>
        <v>0</v>
      </c>
      <c r="V10" s="121">
        <f t="shared" si="8"/>
        <v>33.299999999999997</v>
      </c>
      <c r="W10" s="121">
        <f t="shared" si="9"/>
        <v>0</v>
      </c>
      <c r="X10" s="121">
        <f t="shared" si="10"/>
        <v>33.299999999999997</v>
      </c>
    </row>
    <row r="11" spans="1:24" ht="15.75" x14ac:dyDescent="0.25">
      <c r="A11" s="114"/>
      <c r="B11" s="118"/>
      <c r="C11" s="114"/>
      <c r="D11" s="114"/>
      <c r="E11" s="114"/>
      <c r="F11" s="114"/>
      <c r="G11" s="114"/>
      <c r="H11" s="114"/>
      <c r="I11" s="114"/>
      <c r="J11" s="114"/>
      <c r="K11" s="116">
        <f>SUM(K3:K10)</f>
        <v>13397.565686979588</v>
      </c>
      <c r="L11" s="114">
        <f>SUM(L3:L10)</f>
        <v>20276.814313020412</v>
      </c>
      <c r="M11" s="114"/>
      <c r="N11" s="114">
        <f>SUM(N3:N10)</f>
        <v>3907.48</v>
      </c>
      <c r="O11" s="114">
        <f t="shared" ref="O11:P11" si="12">SUM(O3:O10)</f>
        <v>1597.0224755729128</v>
      </c>
      <c r="P11" s="114">
        <f t="shared" si="12"/>
        <v>2310.4575244270873</v>
      </c>
      <c r="R11" s="116">
        <f>SUM(R3:R10)</f>
        <v>979.19999999999982</v>
      </c>
      <c r="S11" s="116">
        <f t="shared" ref="S11:T11" si="13">SUM(S3:S10)</f>
        <v>381.56105813867799</v>
      </c>
      <c r="T11" s="116">
        <f t="shared" si="13"/>
        <v>597.63894186132188</v>
      </c>
      <c r="V11">
        <f>SUM(V3:V10)</f>
        <v>266.40000000000003</v>
      </c>
      <c r="W11">
        <f t="shared" ref="W11:X11" si="14">SUM(W3:W10)</f>
        <v>89.279996684105811</v>
      </c>
      <c r="X11">
        <f t="shared" si="14"/>
        <v>177.12000331589422</v>
      </c>
    </row>
    <row r="12" spans="1:24" ht="15.75" x14ac:dyDescent="0.25">
      <c r="A12" s="114"/>
      <c r="B12" s="118"/>
      <c r="C12" s="114"/>
      <c r="D12" s="114"/>
      <c r="E12" s="114"/>
      <c r="F12" s="114"/>
      <c r="G12" s="114"/>
      <c r="H12" s="114"/>
      <c r="I12" s="114"/>
      <c r="J12" s="114"/>
      <c r="K12" s="116"/>
      <c r="L12" s="114"/>
      <c r="M12" s="114"/>
      <c r="N12" s="114"/>
      <c r="O12" s="114"/>
      <c r="P12" s="114"/>
      <c r="R12" s="116"/>
      <c r="S12" s="116"/>
      <c r="T12" s="116"/>
    </row>
    <row r="13" spans="1:24" ht="15.75" x14ac:dyDescent="0.25">
      <c r="A13" s="114"/>
      <c r="B13" s="118"/>
      <c r="C13" s="114"/>
      <c r="D13" s="114"/>
      <c r="E13" s="114"/>
      <c r="F13" s="114"/>
      <c r="G13" s="114"/>
      <c r="H13" s="114"/>
      <c r="I13" s="114"/>
      <c r="J13" s="115"/>
      <c r="K13" s="116"/>
      <c r="L13" s="114"/>
      <c r="M13" s="114"/>
      <c r="N13" s="114"/>
      <c r="O13" s="114"/>
      <c r="P13" s="114"/>
      <c r="R13" s="116"/>
      <c r="S13" s="116"/>
      <c r="T13" s="116"/>
    </row>
    <row r="14" spans="1:24" ht="15.75" x14ac:dyDescent="0.25">
      <c r="A14" s="114"/>
      <c r="B14" s="118"/>
      <c r="C14" s="114"/>
      <c r="D14" s="114"/>
      <c r="E14" s="114"/>
      <c r="F14" s="114"/>
      <c r="G14" s="114"/>
      <c r="H14" s="114"/>
      <c r="I14" s="114"/>
      <c r="J14" s="115" t="s">
        <v>56</v>
      </c>
      <c r="K14" s="116"/>
      <c r="L14" s="114"/>
      <c r="M14" s="114"/>
      <c r="N14" s="115" t="s">
        <v>266</v>
      </c>
      <c r="O14" s="116"/>
      <c r="P14" s="114"/>
      <c r="R14" s="115" t="s">
        <v>270</v>
      </c>
      <c r="S14" s="116"/>
      <c r="T14" s="114"/>
      <c r="V14" s="115" t="s">
        <v>267</v>
      </c>
    </row>
    <row r="15" spans="1:24" ht="15.75" x14ac:dyDescent="0.25">
      <c r="A15" s="114"/>
      <c r="B15" s="118"/>
      <c r="C15" s="115" t="s">
        <v>249</v>
      </c>
      <c r="D15" s="115" t="s">
        <v>250</v>
      </c>
      <c r="E15" s="115" t="s">
        <v>25</v>
      </c>
      <c r="F15" s="115"/>
      <c r="G15" s="115" t="s">
        <v>272</v>
      </c>
      <c r="H15" s="115" t="s">
        <v>273</v>
      </c>
      <c r="I15" s="114"/>
      <c r="J15" s="115" t="s">
        <v>262</v>
      </c>
      <c r="K15" s="115" t="s">
        <v>274</v>
      </c>
      <c r="L15" s="115" t="s">
        <v>275</v>
      </c>
      <c r="M15" s="114"/>
      <c r="N15" s="115" t="s">
        <v>262</v>
      </c>
      <c r="O15" s="115" t="s">
        <v>274</v>
      </c>
      <c r="P15" s="115" t="s">
        <v>275</v>
      </c>
      <c r="R15" s="115" t="s">
        <v>262</v>
      </c>
      <c r="S15" s="115" t="s">
        <v>274</v>
      </c>
      <c r="T15" s="115" t="s">
        <v>275</v>
      </c>
      <c r="V15" s="115" t="s">
        <v>271</v>
      </c>
      <c r="W15" s="115" t="s">
        <v>274</v>
      </c>
      <c r="X15" s="115" t="s">
        <v>275</v>
      </c>
    </row>
    <row r="16" spans="1:24" ht="15.75" x14ac:dyDescent="0.25">
      <c r="A16" s="117" t="s">
        <v>251</v>
      </c>
      <c r="B16" s="117" t="s">
        <v>276</v>
      </c>
      <c r="C16" s="116">
        <v>55706.612500000003</v>
      </c>
      <c r="D16" s="116">
        <v>16172.887499999999</v>
      </c>
      <c r="E16" s="116">
        <f>C16+D16</f>
        <v>71879.5</v>
      </c>
      <c r="F16" s="116"/>
      <c r="G16" s="124">
        <f>C16/E16</f>
        <v>0.77500000000000002</v>
      </c>
      <c r="H16" s="124">
        <f>D16/E16</f>
        <v>0.22499999999999998</v>
      </c>
      <c r="J16" s="116">
        <f>(833.64+8)*12</f>
        <v>10099.68</v>
      </c>
      <c r="K16" s="116">
        <f>J16*G16</f>
        <v>7827.2520000000004</v>
      </c>
      <c r="L16" s="116">
        <f>J16*H16</f>
        <v>2272.4279999999999</v>
      </c>
      <c r="N16" s="116">
        <f>43.86*12</f>
        <v>526.31999999999994</v>
      </c>
      <c r="O16" s="116">
        <f>N16*G16</f>
        <v>407.89799999999997</v>
      </c>
      <c r="P16" s="116">
        <f>H16*N16</f>
        <v>118.42199999999997</v>
      </c>
      <c r="R16" s="114">
        <f>19.2*12</f>
        <v>230.39999999999998</v>
      </c>
      <c r="S16" s="114">
        <f>R16*G16</f>
        <v>178.55999999999997</v>
      </c>
      <c r="T16" s="114">
        <f>R16*H16</f>
        <v>51.839999999999989</v>
      </c>
      <c r="V16" s="125">
        <v>33.299999999999997</v>
      </c>
      <c r="W16" s="125">
        <f>V16*G16</f>
        <v>25.807499999999997</v>
      </c>
      <c r="X16" s="125">
        <f>V16*H16</f>
        <v>7.4924999999999988</v>
      </c>
    </row>
    <row r="17" spans="1:24" ht="15.75" x14ac:dyDescent="0.25">
      <c r="A17" s="117" t="s">
        <v>153</v>
      </c>
      <c r="B17" s="117" t="s">
        <v>277</v>
      </c>
      <c r="C17" s="116">
        <v>9950.9711111111101</v>
      </c>
      <c r="D17" s="116"/>
      <c r="E17" s="116">
        <f t="shared" ref="E17:E24" si="15">C17+D17</f>
        <v>9950.9711111111101</v>
      </c>
      <c r="F17" s="116"/>
      <c r="G17" s="124">
        <f t="shared" ref="G17:G24" si="16">C17/E17</f>
        <v>1</v>
      </c>
      <c r="H17" s="124">
        <f t="shared" ref="H17:H24" si="17">D17/E17</f>
        <v>0</v>
      </c>
      <c r="J17" s="116">
        <f>(833.64+8)*2</f>
        <v>1683.28</v>
      </c>
      <c r="K17" s="116">
        <f t="shared" ref="K17:K24" si="18">J17*G17</f>
        <v>1683.28</v>
      </c>
      <c r="L17" s="116">
        <f t="shared" ref="L17:L24" si="19">J17*H17</f>
        <v>0</v>
      </c>
      <c r="N17" s="116">
        <f>43.86*2</f>
        <v>87.72</v>
      </c>
      <c r="O17" s="116">
        <f t="shared" ref="O17:O24" si="20">N17*G17</f>
        <v>87.72</v>
      </c>
      <c r="P17" s="116">
        <f t="shared" ref="P17:P24" si="21">H17*N17</f>
        <v>0</v>
      </c>
      <c r="R17" s="114">
        <f>19.2*2</f>
        <v>38.4</v>
      </c>
      <c r="S17" s="114">
        <f t="shared" ref="S17:S24" si="22">R17*G17</f>
        <v>38.4</v>
      </c>
      <c r="T17" s="114">
        <f t="shared" ref="T17:T24" si="23">R17*H17</f>
        <v>0</v>
      </c>
      <c r="V17" s="125">
        <v>33.299999999999997</v>
      </c>
      <c r="W17" s="125">
        <f t="shared" ref="W17:W24" si="24">V17*G17</f>
        <v>33.299999999999997</v>
      </c>
      <c r="X17" s="125">
        <f t="shared" ref="X17:X24" si="25">V17*H17</f>
        <v>0</v>
      </c>
    </row>
    <row r="18" spans="1:24" ht="15.75" x14ac:dyDescent="0.25">
      <c r="A18" s="117" t="s">
        <v>154</v>
      </c>
      <c r="B18" s="117" t="s">
        <v>278</v>
      </c>
      <c r="C18" s="116">
        <v>42163.966666666674</v>
      </c>
      <c r="D18" s="116">
        <v>3418.7000000000007</v>
      </c>
      <c r="E18" s="116">
        <f t="shared" si="15"/>
        <v>45582.666666666672</v>
      </c>
      <c r="F18" s="116"/>
      <c r="G18" s="124">
        <f t="shared" si="16"/>
        <v>0.92500000000000004</v>
      </c>
      <c r="H18" s="124">
        <f t="shared" si="17"/>
        <v>7.5000000000000011E-2</v>
      </c>
      <c r="J18" s="116">
        <f>(1268.9+8)*12</f>
        <v>15322.800000000001</v>
      </c>
      <c r="K18" s="116">
        <f t="shared" si="18"/>
        <v>14173.590000000002</v>
      </c>
      <c r="L18" s="116">
        <f t="shared" si="19"/>
        <v>1149.2100000000003</v>
      </c>
      <c r="N18" s="116">
        <f>95.82*12</f>
        <v>1149.8399999999999</v>
      </c>
      <c r="O18" s="116">
        <f t="shared" si="20"/>
        <v>1063.6019999999999</v>
      </c>
      <c r="P18" s="116">
        <f t="shared" si="21"/>
        <v>86.238</v>
      </c>
      <c r="R18" s="114">
        <f>19.2*12</f>
        <v>230.39999999999998</v>
      </c>
      <c r="S18" s="114">
        <f t="shared" si="22"/>
        <v>213.11999999999998</v>
      </c>
      <c r="T18" s="114">
        <f t="shared" si="23"/>
        <v>17.28</v>
      </c>
      <c r="V18" s="125">
        <v>33.299999999999997</v>
      </c>
      <c r="W18" s="125">
        <f t="shared" si="24"/>
        <v>30.802499999999998</v>
      </c>
      <c r="X18" s="125">
        <f t="shared" si="25"/>
        <v>2.4975000000000001</v>
      </c>
    </row>
    <row r="19" spans="1:24" ht="15.75" x14ac:dyDescent="0.25">
      <c r="A19" s="117" t="s">
        <v>261</v>
      </c>
      <c r="B19" s="117" t="s">
        <v>279</v>
      </c>
      <c r="C19" s="116">
        <v>9464.625</v>
      </c>
      <c r="D19" s="116">
        <v>28393.875</v>
      </c>
      <c r="E19" s="116">
        <f t="shared" si="15"/>
        <v>37858.5</v>
      </c>
      <c r="F19" s="116"/>
      <c r="G19" s="124"/>
      <c r="H19" s="124">
        <v>1</v>
      </c>
      <c r="J19" s="116">
        <f>813.02*12</f>
        <v>9756.24</v>
      </c>
      <c r="K19" s="116">
        <f t="shared" si="18"/>
        <v>0</v>
      </c>
      <c r="L19" s="116">
        <f t="shared" si="19"/>
        <v>9756.24</v>
      </c>
      <c r="N19" s="116">
        <f t="shared" ref="N19" si="26">43.86*12</f>
        <v>526.31999999999994</v>
      </c>
      <c r="O19" s="116">
        <f t="shared" si="20"/>
        <v>0</v>
      </c>
      <c r="P19" s="116">
        <f t="shared" si="21"/>
        <v>526.31999999999994</v>
      </c>
      <c r="R19" s="114">
        <f>19.2*12</f>
        <v>230.39999999999998</v>
      </c>
      <c r="S19" s="114">
        <f t="shared" si="22"/>
        <v>0</v>
      </c>
      <c r="T19" s="114">
        <f t="shared" si="23"/>
        <v>230.39999999999998</v>
      </c>
      <c r="V19" s="125">
        <v>33.299999999999997</v>
      </c>
      <c r="W19" s="125">
        <f t="shared" si="24"/>
        <v>0</v>
      </c>
      <c r="X19" s="125">
        <f t="shared" si="25"/>
        <v>33.299999999999997</v>
      </c>
    </row>
    <row r="20" spans="1:24" ht="15.75" x14ac:dyDescent="0.25">
      <c r="A20" s="117" t="s">
        <v>242</v>
      </c>
      <c r="B20" s="117" t="s">
        <v>280</v>
      </c>
      <c r="C20" s="116"/>
      <c r="D20" s="116">
        <v>17720</v>
      </c>
      <c r="E20" s="116">
        <f t="shared" si="15"/>
        <v>17720</v>
      </c>
      <c r="F20" s="116"/>
      <c r="G20" s="124">
        <f t="shared" si="16"/>
        <v>0</v>
      </c>
      <c r="H20" s="124">
        <f t="shared" si="17"/>
        <v>1</v>
      </c>
      <c r="J20" s="116">
        <f>(833.64+8)*5</f>
        <v>4208.2</v>
      </c>
      <c r="K20" s="116">
        <f t="shared" si="18"/>
        <v>0</v>
      </c>
      <c r="L20" s="116">
        <f t="shared" si="19"/>
        <v>4208.2</v>
      </c>
      <c r="N20" s="116">
        <f>43.86*4</f>
        <v>175.44</v>
      </c>
      <c r="O20" s="116">
        <f t="shared" si="20"/>
        <v>0</v>
      </c>
      <c r="P20" s="116">
        <f t="shared" si="21"/>
        <v>175.44</v>
      </c>
      <c r="R20" s="116">
        <f>19.2*5</f>
        <v>96</v>
      </c>
      <c r="S20" s="116">
        <f t="shared" si="22"/>
        <v>0</v>
      </c>
      <c r="T20" s="116">
        <f t="shared" si="23"/>
        <v>96</v>
      </c>
      <c r="V20" s="125">
        <v>33.299999999999997</v>
      </c>
      <c r="W20" s="125">
        <f t="shared" si="24"/>
        <v>0</v>
      </c>
      <c r="X20" s="125">
        <f t="shared" si="25"/>
        <v>33.299999999999997</v>
      </c>
    </row>
    <row r="21" spans="1:24" ht="15.75" x14ac:dyDescent="0.25">
      <c r="A21" s="117" t="s">
        <v>252</v>
      </c>
      <c r="B21" s="117" t="s">
        <v>281</v>
      </c>
      <c r="C21" s="116"/>
      <c r="D21" s="116">
        <v>17720</v>
      </c>
      <c r="E21" s="116">
        <f t="shared" si="15"/>
        <v>17720</v>
      </c>
      <c r="F21" s="116"/>
      <c r="G21" s="124">
        <f t="shared" si="16"/>
        <v>0</v>
      </c>
      <c r="H21" s="124">
        <f t="shared" si="17"/>
        <v>1</v>
      </c>
      <c r="J21" s="116">
        <f t="shared" ref="J21:J24" si="27">(833.64+8)*5</f>
        <v>4208.2</v>
      </c>
      <c r="K21" s="116">
        <f t="shared" si="18"/>
        <v>0</v>
      </c>
      <c r="L21" s="116">
        <f t="shared" si="19"/>
        <v>4208.2</v>
      </c>
      <c r="N21" s="116">
        <f t="shared" ref="N21:N24" si="28">43.86*4</f>
        <v>175.44</v>
      </c>
      <c r="O21" s="116">
        <f t="shared" si="20"/>
        <v>0</v>
      </c>
      <c r="P21" s="116">
        <f t="shared" si="21"/>
        <v>175.44</v>
      </c>
      <c r="R21" s="116">
        <f t="shared" ref="R21:R24" si="29">19.2*5</f>
        <v>96</v>
      </c>
      <c r="S21" s="116">
        <f t="shared" si="22"/>
        <v>0</v>
      </c>
      <c r="T21" s="116">
        <f t="shared" si="23"/>
        <v>96</v>
      </c>
      <c r="V21" s="125">
        <v>33.299999999999997</v>
      </c>
      <c r="W21" s="125">
        <f t="shared" si="24"/>
        <v>0</v>
      </c>
      <c r="X21" s="125">
        <f t="shared" si="25"/>
        <v>33.299999999999997</v>
      </c>
    </row>
    <row r="22" spans="1:24" ht="15.75" x14ac:dyDescent="0.25">
      <c r="A22" s="117" t="s">
        <v>243</v>
      </c>
      <c r="B22" s="117" t="s">
        <v>282</v>
      </c>
      <c r="C22" s="116"/>
      <c r="D22" s="116">
        <v>20281.25</v>
      </c>
      <c r="E22" s="116">
        <f t="shared" si="15"/>
        <v>20281.25</v>
      </c>
      <c r="F22" s="116"/>
      <c r="G22" s="124">
        <f t="shared" si="16"/>
        <v>0</v>
      </c>
      <c r="H22" s="124">
        <f t="shared" si="17"/>
        <v>1</v>
      </c>
      <c r="J22" s="116">
        <f t="shared" si="27"/>
        <v>4208.2</v>
      </c>
      <c r="K22" s="116">
        <f t="shared" si="18"/>
        <v>0</v>
      </c>
      <c r="L22" s="116">
        <f t="shared" si="19"/>
        <v>4208.2</v>
      </c>
      <c r="N22" s="116">
        <f t="shared" si="28"/>
        <v>175.44</v>
      </c>
      <c r="O22" s="116">
        <f t="shared" si="20"/>
        <v>0</v>
      </c>
      <c r="P22" s="116">
        <f t="shared" si="21"/>
        <v>175.44</v>
      </c>
      <c r="R22" s="116">
        <f t="shared" si="29"/>
        <v>96</v>
      </c>
      <c r="S22" s="116">
        <f t="shared" si="22"/>
        <v>0</v>
      </c>
      <c r="T22" s="116">
        <f t="shared" si="23"/>
        <v>96</v>
      </c>
      <c r="V22" s="125">
        <v>33.299999999999997</v>
      </c>
      <c r="W22" s="125">
        <f t="shared" si="24"/>
        <v>0</v>
      </c>
      <c r="X22" s="125">
        <f t="shared" si="25"/>
        <v>33.299999999999997</v>
      </c>
    </row>
    <row r="23" spans="1:24" ht="15.75" x14ac:dyDescent="0.25">
      <c r="A23" s="117" t="s">
        <v>244</v>
      </c>
      <c r="B23" s="117" t="s">
        <v>282</v>
      </c>
      <c r="C23" s="116"/>
      <c r="D23" s="116">
        <v>18441.666666666668</v>
      </c>
      <c r="E23" s="116">
        <f t="shared" si="15"/>
        <v>18441.666666666668</v>
      </c>
      <c r="F23" s="116"/>
      <c r="G23" s="124">
        <f t="shared" si="16"/>
        <v>0</v>
      </c>
      <c r="H23" s="124">
        <f t="shared" si="17"/>
        <v>1</v>
      </c>
      <c r="J23" s="116">
        <f t="shared" si="27"/>
        <v>4208.2</v>
      </c>
      <c r="K23" s="116">
        <f t="shared" si="18"/>
        <v>0</v>
      </c>
      <c r="L23" s="116">
        <f t="shared" si="19"/>
        <v>4208.2</v>
      </c>
      <c r="N23" s="116">
        <f t="shared" si="28"/>
        <v>175.44</v>
      </c>
      <c r="O23" s="116">
        <f t="shared" si="20"/>
        <v>0</v>
      </c>
      <c r="P23" s="116">
        <f t="shared" si="21"/>
        <v>175.44</v>
      </c>
      <c r="R23" s="116">
        <f t="shared" si="29"/>
        <v>96</v>
      </c>
      <c r="S23" s="116">
        <f t="shared" si="22"/>
        <v>0</v>
      </c>
      <c r="T23" s="116">
        <f t="shared" si="23"/>
        <v>96</v>
      </c>
      <c r="V23" s="125">
        <v>33.299999999999997</v>
      </c>
      <c r="W23" s="125">
        <f t="shared" si="24"/>
        <v>0</v>
      </c>
      <c r="X23" s="125">
        <f t="shared" si="25"/>
        <v>33.299999999999997</v>
      </c>
    </row>
    <row r="24" spans="1:24" ht="15.75" x14ac:dyDescent="0.25">
      <c r="A24" s="117" t="s">
        <v>245</v>
      </c>
      <c r="B24" s="117" t="s">
        <v>282</v>
      </c>
      <c r="C24" s="122"/>
      <c r="D24" s="122">
        <v>17065</v>
      </c>
      <c r="E24" s="122">
        <f t="shared" si="15"/>
        <v>17065</v>
      </c>
      <c r="F24" s="122"/>
      <c r="G24" s="127">
        <f t="shared" si="16"/>
        <v>0</v>
      </c>
      <c r="H24" s="127">
        <f t="shared" si="17"/>
        <v>1</v>
      </c>
      <c r="J24" s="122">
        <f t="shared" si="27"/>
        <v>4208.2</v>
      </c>
      <c r="K24" s="122">
        <f t="shared" si="18"/>
        <v>0</v>
      </c>
      <c r="L24" s="122">
        <f t="shared" si="19"/>
        <v>4208.2</v>
      </c>
      <c r="N24" s="122">
        <f t="shared" si="28"/>
        <v>175.44</v>
      </c>
      <c r="O24" s="122">
        <f t="shared" si="20"/>
        <v>0</v>
      </c>
      <c r="P24" s="122">
        <f t="shared" si="21"/>
        <v>175.44</v>
      </c>
      <c r="R24" s="122">
        <f t="shared" si="29"/>
        <v>96</v>
      </c>
      <c r="S24" s="122">
        <f t="shared" si="22"/>
        <v>0</v>
      </c>
      <c r="T24" s="122">
        <f t="shared" si="23"/>
        <v>96</v>
      </c>
      <c r="V24" s="126">
        <v>33.299999999999997</v>
      </c>
      <c r="W24" s="126">
        <f t="shared" si="24"/>
        <v>0</v>
      </c>
      <c r="X24" s="126">
        <f t="shared" si="25"/>
        <v>33.299999999999997</v>
      </c>
    </row>
    <row r="25" spans="1:24" ht="15.75" x14ac:dyDescent="0.25">
      <c r="C25" s="116"/>
      <c r="D25" s="116"/>
      <c r="E25" s="116"/>
      <c r="F25" s="116"/>
      <c r="G25" s="116"/>
      <c r="H25" s="116"/>
      <c r="J25" s="114"/>
      <c r="K25" s="114">
        <f>SUM(K16:K24)</f>
        <v>23684.122000000003</v>
      </c>
      <c r="L25" s="114">
        <f>SUM(L16:L24)</f>
        <v>34218.878000000004</v>
      </c>
      <c r="N25" s="114">
        <f>SUM(N16:N24)</f>
        <v>3167.4</v>
      </c>
      <c r="O25" s="114">
        <f t="shared" ref="O25:P25" si="30">SUM(O16:O24)</f>
        <v>1559.2199999999998</v>
      </c>
      <c r="P25" s="114">
        <f t="shared" si="30"/>
        <v>1608.18</v>
      </c>
      <c r="R25" s="114">
        <f>SUM(R16:R24)</f>
        <v>1209.5999999999999</v>
      </c>
      <c r="S25" s="114">
        <f t="shared" ref="S25" si="31">SUM(S16:S24)</f>
        <v>430.07999999999993</v>
      </c>
      <c r="T25" s="114">
        <f t="shared" ref="T25" si="32">SUM(T16:T24)</f>
        <v>779.52</v>
      </c>
      <c r="V25" s="125">
        <f>SUM(V16:V24)</f>
        <v>299.70000000000005</v>
      </c>
      <c r="W25" s="125">
        <f t="shared" ref="W25:X25" si="33">SUM(W16:W24)</f>
        <v>89.91</v>
      </c>
      <c r="X25" s="125">
        <f t="shared" si="33"/>
        <v>209.79000000000002</v>
      </c>
    </row>
    <row r="26" spans="1:24" ht="15.75" x14ac:dyDescent="0.25">
      <c r="C26" s="116"/>
      <c r="D26" s="116"/>
      <c r="E26" s="116"/>
      <c r="F26" s="116"/>
      <c r="G26" s="116"/>
      <c r="H26" s="1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Worksheet 2018</vt:lpstr>
      <vt:lpstr>KEJC 2023</vt:lpstr>
      <vt:lpstr>Sheet4</vt:lpstr>
      <vt:lpstr>Sheet1</vt:lpstr>
      <vt:lpstr>Sheet2</vt:lpstr>
      <vt:lpstr>Bene Spread 2023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Richard Seckel</cp:lastModifiedBy>
  <cp:lastPrinted>2023-07-25T13:54:03Z</cp:lastPrinted>
  <dcterms:created xsi:type="dcterms:W3CDTF">2007-11-15T22:37:25Z</dcterms:created>
  <dcterms:modified xsi:type="dcterms:W3CDTF">2023-07-25T14:20:34Z</dcterms:modified>
</cp:coreProperties>
</file>