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s\Dropbox\"/>
    </mc:Choice>
  </mc:AlternateContent>
  <xr:revisionPtr revIDLastSave="0" documentId="13_ncr:1_{D0064251-34AA-4F25-87D8-FF643FE1439D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Worksheet 2018" sheetId="2" state="hidden" r:id="rId1"/>
    <sheet name="KEJC 2024 EC proposal" sheetId="4" r:id="rId2"/>
    <sheet name="KEJC 2024 new scale " sheetId="9" r:id="rId3"/>
    <sheet name="Sheet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4" i="4" l="1"/>
  <c r="F34" i="4"/>
  <c r="AZ30" i="4"/>
  <c r="AX30" i="4"/>
  <c r="AY30" i="4"/>
  <c r="AU30" i="4"/>
  <c r="AV30" i="4"/>
  <c r="AF30" i="4"/>
  <c r="Q30" i="4" s="1"/>
  <c r="V30" i="4" s="1"/>
  <c r="AI38" i="4"/>
  <c r="W30" i="4"/>
  <c r="AC30" i="4"/>
  <c r="AB9" i="4"/>
  <c r="D162" i="4" l="1"/>
  <c r="D163" i="4" s="1"/>
  <c r="V107" i="4" l="1"/>
  <c r="W107" i="4" s="1"/>
  <c r="T121" i="4" l="1"/>
  <c r="V121" i="4" s="1"/>
  <c r="V57" i="4"/>
  <c r="V58" i="4"/>
  <c r="V59" i="4"/>
  <c r="V62" i="4"/>
  <c r="V65" i="4"/>
  <c r="V68" i="4"/>
  <c r="V70" i="4"/>
  <c r="V72" i="4"/>
  <c r="V76" i="4"/>
  <c r="V56" i="4"/>
  <c r="C78" i="4"/>
  <c r="C80" i="4" s="1"/>
  <c r="AF10" i="4"/>
  <c r="AJ36" i="4" l="1"/>
  <c r="AE10" i="4"/>
  <c r="AJ10" i="4" s="1"/>
  <c r="AB39" i="4"/>
  <c r="AC37" i="4"/>
  <c r="AB37" i="4"/>
  <c r="AC39" i="4"/>
  <c r="AB38" i="4"/>
  <c r="AC38" i="4"/>
  <c r="AB15" i="4"/>
  <c r="AC15" i="4"/>
  <c r="AB18" i="4"/>
  <c r="AC18" i="4"/>
  <c r="AB14" i="4"/>
  <c r="AC14" i="4"/>
  <c r="E61" i="4"/>
  <c r="D61" i="4"/>
  <c r="AC12" i="4"/>
  <c r="AB12" i="4"/>
  <c r="AB19" i="4"/>
  <c r="AC19" i="4"/>
  <c r="AB35" i="4"/>
  <c r="AC35" i="4"/>
  <c r="AB32" i="4"/>
  <c r="AC32" i="4"/>
  <c r="E125" i="4"/>
  <c r="U85" i="4"/>
  <c r="F33" i="9"/>
  <c r="AB9" i="9"/>
  <c r="AF32" i="4" l="1"/>
  <c r="AG9" i="4"/>
  <c r="AG12" i="4"/>
  <c r="AG36" i="4"/>
  <c r="AF34" i="4"/>
  <c r="AE52" i="9"/>
  <c r="AF52" i="9"/>
  <c r="AG52" i="9"/>
  <c r="AT52" i="9"/>
  <c r="AD52" i="9"/>
  <c r="AD40" i="9"/>
  <c r="AD41" i="9" s="1"/>
  <c r="AB38" i="9"/>
  <c r="AC38" i="9"/>
  <c r="AB37" i="9"/>
  <c r="AC37" i="9"/>
  <c r="AD37" i="9" s="1"/>
  <c r="AB23" i="9"/>
  <c r="AC23" i="9"/>
  <c r="AB20" i="9"/>
  <c r="AC20" i="9"/>
  <c r="AD20" i="9" s="1"/>
  <c r="AB18" i="9"/>
  <c r="AC18" i="9"/>
  <c r="AB12" i="9"/>
  <c r="AC12" i="9"/>
  <c r="AC34" i="9"/>
  <c r="AD34" i="9" s="1"/>
  <c r="AB31" i="9"/>
  <c r="AC31" i="9"/>
  <c r="AB25" i="9"/>
  <c r="AC25" i="9"/>
  <c r="AB24" i="9"/>
  <c r="AC24" i="9"/>
  <c r="AB22" i="9"/>
  <c r="AC22" i="9"/>
  <c r="AD22" i="9" s="1"/>
  <c r="AM22" i="9" s="1"/>
  <c r="AB16" i="9"/>
  <c r="AC16" i="9"/>
  <c r="AC14" i="9"/>
  <c r="AB14" i="9"/>
  <c r="AB11" i="9"/>
  <c r="AC11" i="9"/>
  <c r="V125" i="9"/>
  <c r="W125" i="9" s="1"/>
  <c r="V124" i="9"/>
  <c r="W124" i="9" s="1"/>
  <c r="V123" i="9"/>
  <c r="F123" i="9"/>
  <c r="T119" i="9"/>
  <c r="V119" i="9" s="1"/>
  <c r="E119" i="9"/>
  <c r="F119" i="9" s="1"/>
  <c r="W119" i="9" s="1"/>
  <c r="U114" i="9"/>
  <c r="S114" i="9"/>
  <c r="R114" i="9"/>
  <c r="Q114" i="9"/>
  <c r="P114" i="9"/>
  <c r="N114" i="9"/>
  <c r="M114" i="9"/>
  <c r="L114" i="9"/>
  <c r="K114" i="9"/>
  <c r="J114" i="9"/>
  <c r="I114" i="9"/>
  <c r="H114" i="9"/>
  <c r="G114" i="9"/>
  <c r="E114" i="9"/>
  <c r="D114" i="9"/>
  <c r="V113" i="9"/>
  <c r="F113" i="9"/>
  <c r="W113" i="9" s="1"/>
  <c r="X113" i="9" s="1"/>
  <c r="V112" i="9"/>
  <c r="F112" i="9"/>
  <c r="W112" i="9" s="1"/>
  <c r="V111" i="9"/>
  <c r="F111" i="9"/>
  <c r="W111" i="9" s="1"/>
  <c r="X111" i="9" s="1"/>
  <c r="V110" i="9"/>
  <c r="F110" i="9"/>
  <c r="W110" i="9" s="1"/>
  <c r="X110" i="9" s="1"/>
  <c r="V109" i="9"/>
  <c r="F109" i="9"/>
  <c r="W109" i="9" s="1"/>
  <c r="X109" i="9" s="1"/>
  <c r="V108" i="9"/>
  <c r="F108" i="9"/>
  <c r="W108" i="9" s="1"/>
  <c r="X108" i="9" s="1"/>
  <c r="V107" i="9"/>
  <c r="F107" i="9"/>
  <c r="W107" i="9" s="1"/>
  <c r="X107" i="9" s="1"/>
  <c r="V106" i="9"/>
  <c r="F106" i="9"/>
  <c r="V105" i="9"/>
  <c r="F105" i="9"/>
  <c r="W105" i="9" s="1"/>
  <c r="X105" i="9" s="1"/>
  <c r="V104" i="9"/>
  <c r="F104" i="9"/>
  <c r="V103" i="9"/>
  <c r="W103" i="9" s="1"/>
  <c r="V102" i="9"/>
  <c r="F102" i="9"/>
  <c r="W102" i="9" s="1"/>
  <c r="V101" i="9"/>
  <c r="F101" i="9"/>
  <c r="V100" i="9"/>
  <c r="F100" i="9"/>
  <c r="W100" i="9" s="1"/>
  <c r="X100" i="9" s="1"/>
  <c r="V99" i="9"/>
  <c r="W99" i="9" s="1"/>
  <c r="T98" i="9"/>
  <c r="V98" i="9" s="1"/>
  <c r="W98" i="9" s="1"/>
  <c r="F98" i="9"/>
  <c r="V97" i="9"/>
  <c r="F97" i="9"/>
  <c r="V96" i="9"/>
  <c r="F96" i="9"/>
  <c r="W95" i="9"/>
  <c r="X95" i="9" s="1"/>
  <c r="V95" i="9"/>
  <c r="F95" i="9"/>
  <c r="V94" i="9"/>
  <c r="F94" i="9"/>
  <c r="W94" i="9" s="1"/>
  <c r="X94" i="9" s="1"/>
  <c r="V93" i="9"/>
  <c r="F93" i="9"/>
  <c r="V92" i="9"/>
  <c r="F92" i="9"/>
  <c r="W91" i="9"/>
  <c r="X91" i="9" s="1"/>
  <c r="V91" i="9"/>
  <c r="F91" i="9"/>
  <c r="V90" i="9"/>
  <c r="O90" i="9"/>
  <c r="O114" i="9" s="1"/>
  <c r="F90" i="9"/>
  <c r="W90" i="9" s="1"/>
  <c r="V89" i="9"/>
  <c r="F89" i="9"/>
  <c r="V88" i="9"/>
  <c r="W88" i="9" s="1"/>
  <c r="X88" i="9" s="1"/>
  <c r="F88" i="9"/>
  <c r="V87" i="9"/>
  <c r="F87" i="9"/>
  <c r="W87" i="9" s="1"/>
  <c r="X87" i="9" s="1"/>
  <c r="V86" i="9"/>
  <c r="F86" i="9"/>
  <c r="W86" i="9" s="1"/>
  <c r="X86" i="9" s="1"/>
  <c r="V85" i="9"/>
  <c r="F85" i="9"/>
  <c r="V84" i="9"/>
  <c r="F84" i="9"/>
  <c r="V83" i="9"/>
  <c r="F83" i="9"/>
  <c r="W83" i="9" s="1"/>
  <c r="X83" i="9" s="1"/>
  <c r="V82" i="9"/>
  <c r="W82" i="9" s="1"/>
  <c r="X82" i="9" s="1"/>
  <c r="F82" i="9"/>
  <c r="R77" i="9"/>
  <c r="M77" i="9"/>
  <c r="K77" i="9"/>
  <c r="G77" i="9"/>
  <c r="V75" i="9"/>
  <c r="W75" i="9" s="1"/>
  <c r="X75" i="9" s="1"/>
  <c r="F75" i="9"/>
  <c r="T74" i="9"/>
  <c r="V74" i="9" s="1"/>
  <c r="O74" i="9"/>
  <c r="E74" i="9"/>
  <c r="F74" i="9" s="1"/>
  <c r="T73" i="9"/>
  <c r="S73" i="9"/>
  <c r="S77" i="9" s="1"/>
  <c r="Q73" i="9"/>
  <c r="P73" i="9"/>
  <c r="O73" i="9"/>
  <c r="N73" i="9"/>
  <c r="L73" i="9"/>
  <c r="J73" i="9"/>
  <c r="J77" i="9" s="1"/>
  <c r="I73" i="9"/>
  <c r="H73" i="9"/>
  <c r="H77" i="9" s="1"/>
  <c r="E73" i="9"/>
  <c r="F73" i="9" s="1"/>
  <c r="T72" i="9"/>
  <c r="V72" i="9" s="1"/>
  <c r="W72" i="9" s="1"/>
  <c r="X72" i="9" s="1"/>
  <c r="V71" i="9"/>
  <c r="F71" i="9"/>
  <c r="T70" i="9"/>
  <c r="Q70" i="9"/>
  <c r="Q77" i="9" s="1"/>
  <c r="N70" i="9"/>
  <c r="N77" i="9" s="1"/>
  <c r="L70" i="9"/>
  <c r="L76" i="9" s="1"/>
  <c r="E70" i="9"/>
  <c r="F70" i="9" s="1"/>
  <c r="V69" i="9"/>
  <c r="W69" i="9" s="1"/>
  <c r="X69" i="9" s="1"/>
  <c r="Q68" i="9"/>
  <c r="V68" i="9" s="1"/>
  <c r="F68" i="9"/>
  <c r="V67" i="9"/>
  <c r="E67" i="9"/>
  <c r="F67" i="9" s="1"/>
  <c r="T66" i="9"/>
  <c r="E66" i="9"/>
  <c r="F66" i="9" s="1"/>
  <c r="P65" i="9"/>
  <c r="O65" i="9"/>
  <c r="I65" i="9"/>
  <c r="H65" i="9"/>
  <c r="E65" i="9"/>
  <c r="V64" i="9"/>
  <c r="F64" i="9"/>
  <c r="O63" i="9"/>
  <c r="V63" i="9" s="1"/>
  <c r="L63" i="9"/>
  <c r="E63" i="9"/>
  <c r="F63" i="9" s="1"/>
  <c r="U62" i="9"/>
  <c r="V62" i="9" s="1"/>
  <c r="F62" i="9"/>
  <c r="W62" i="9" s="1"/>
  <c r="X62" i="9" s="1"/>
  <c r="V61" i="9"/>
  <c r="E61" i="9"/>
  <c r="F61" i="9" s="1"/>
  <c r="W61" i="9" s="1"/>
  <c r="X61" i="9" s="1"/>
  <c r="V60" i="9"/>
  <c r="U60" i="9"/>
  <c r="E60" i="9"/>
  <c r="D60" i="9"/>
  <c r="U59" i="9"/>
  <c r="F59" i="9"/>
  <c r="V58" i="9"/>
  <c r="W58" i="9" s="1"/>
  <c r="X58" i="9" s="1"/>
  <c r="V57" i="9"/>
  <c r="F57" i="9"/>
  <c r="W57" i="9" s="1"/>
  <c r="X57" i="9" s="1"/>
  <c r="E57" i="9"/>
  <c r="V56" i="9"/>
  <c r="F56" i="9"/>
  <c r="W56" i="9" s="1"/>
  <c r="X56" i="9" s="1"/>
  <c r="V55" i="9"/>
  <c r="F55" i="9"/>
  <c r="E51" i="9"/>
  <c r="D51" i="9"/>
  <c r="F51" i="9" s="1"/>
  <c r="C51" i="9"/>
  <c r="X50" i="9"/>
  <c r="X49" i="9"/>
  <c r="X48" i="9"/>
  <c r="X47" i="9"/>
  <c r="X46" i="9"/>
  <c r="V46" i="9"/>
  <c r="X45" i="9"/>
  <c r="V45" i="9"/>
  <c r="X44" i="9"/>
  <c r="V44" i="9"/>
  <c r="X43" i="9"/>
  <c r="V43" i="9"/>
  <c r="AS40" i="9"/>
  <c r="AL40" i="9"/>
  <c r="AK40" i="9"/>
  <c r="AJ40" i="9"/>
  <c r="Z40" i="9"/>
  <c r="U40" i="9"/>
  <c r="U52" i="9" s="1"/>
  <c r="G40" i="9"/>
  <c r="G50" i="9" s="1"/>
  <c r="V50" i="9" s="1"/>
  <c r="AO38" i="9"/>
  <c r="AD38" i="9"/>
  <c r="AA38" i="9"/>
  <c r="V38" i="9"/>
  <c r="AO37" i="9"/>
  <c r="AG37" i="9"/>
  <c r="AA37" i="9"/>
  <c r="V37" i="9"/>
  <c r="AG36" i="9"/>
  <c r="AD36" i="9"/>
  <c r="AN36" i="9" s="1"/>
  <c r="AA36" i="9"/>
  <c r="V36" i="9"/>
  <c r="AG35" i="9"/>
  <c r="AE35" i="9"/>
  <c r="X35" i="9"/>
  <c r="V35" i="9"/>
  <c r="E35" i="9"/>
  <c r="D35" i="9"/>
  <c r="F35" i="9" s="1"/>
  <c r="AG34" i="9"/>
  <c r="V34" i="9"/>
  <c r="AN33" i="9"/>
  <c r="AG33" i="9"/>
  <c r="AD33" i="9"/>
  <c r="AQ33" i="9" s="1"/>
  <c r="V33" i="9"/>
  <c r="AG32" i="9"/>
  <c r="AD32" i="9"/>
  <c r="AM32" i="9" s="1"/>
  <c r="AA32" i="9"/>
  <c r="V32" i="9"/>
  <c r="AG31" i="9"/>
  <c r="V31" i="9"/>
  <c r="AG29" i="9"/>
  <c r="AD29" i="9"/>
  <c r="AA29" i="9"/>
  <c r="AD28" i="9"/>
  <c r="AR28" i="9" s="1"/>
  <c r="AA28" i="9"/>
  <c r="AG27" i="9"/>
  <c r="AD27" i="9"/>
  <c r="AQ27" i="9" s="1"/>
  <c r="AA27" i="9"/>
  <c r="AG26" i="9"/>
  <c r="AD26" i="9"/>
  <c r="AQ26" i="9" s="1"/>
  <c r="AA26" i="9"/>
  <c r="AF25" i="9"/>
  <c r="AG25" i="9" s="1"/>
  <c r="AD25" i="9"/>
  <c r="AA25" i="9"/>
  <c r="AF24" i="9"/>
  <c r="AD24" i="9"/>
  <c r="AG23" i="9"/>
  <c r="AD23" i="9"/>
  <c r="AG22" i="9"/>
  <c r="AG20" i="9"/>
  <c r="AA20" i="9"/>
  <c r="AG19" i="9"/>
  <c r="P19" i="9" s="1"/>
  <c r="AD19" i="9"/>
  <c r="AA19" i="9"/>
  <c r="AG18" i="9"/>
  <c r="AD18" i="9"/>
  <c r="AM18" i="9" s="1"/>
  <c r="AA18" i="9"/>
  <c r="AG17" i="9"/>
  <c r="AD17" i="9"/>
  <c r="AR17" i="9" s="1"/>
  <c r="AA17" i="9"/>
  <c r="AG16" i="9"/>
  <c r="AD16" i="9"/>
  <c r="AD15" i="9"/>
  <c r="AQ15" i="9" s="1"/>
  <c r="AA15" i="9"/>
  <c r="AG14" i="9"/>
  <c r="AG13" i="9"/>
  <c r="AD13" i="9"/>
  <c r="AR13" i="9" s="1"/>
  <c r="AA13" i="9"/>
  <c r="AE12" i="9"/>
  <c r="AG12" i="9" s="1"/>
  <c r="AD12" i="9"/>
  <c r="AR12" i="9" s="1"/>
  <c r="AA12" i="9"/>
  <c r="AG11" i="9"/>
  <c r="AA11" i="9"/>
  <c r="AG10" i="9"/>
  <c r="AD10" i="9"/>
  <c r="AM10" i="9" s="1"/>
  <c r="AA10" i="9"/>
  <c r="AR9" i="9"/>
  <c r="AM9" i="9"/>
  <c r="AE9" i="9"/>
  <c r="AG9" i="9" s="1"/>
  <c r="P9" i="9" s="1"/>
  <c r="AD9" i="9"/>
  <c r="AN9" i="9" s="1"/>
  <c r="M9" i="9"/>
  <c r="L9" i="9"/>
  <c r="V126" i="4"/>
  <c r="W126" i="4" s="1"/>
  <c r="V127" i="4"/>
  <c r="W127" i="4" s="1"/>
  <c r="E121" i="4"/>
  <c r="V115" i="4"/>
  <c r="V114" i="4"/>
  <c r="V113" i="4"/>
  <c r="V112" i="4"/>
  <c r="V111" i="4"/>
  <c r="V110" i="4"/>
  <c r="V109" i="4"/>
  <c r="V108" i="4"/>
  <c r="V106" i="4"/>
  <c r="V105" i="4"/>
  <c r="V104" i="4"/>
  <c r="W104" i="4" s="1"/>
  <c r="V103" i="4"/>
  <c r="V102" i="4"/>
  <c r="V101" i="4"/>
  <c r="V100" i="4"/>
  <c r="V98" i="4"/>
  <c r="V97" i="4"/>
  <c r="V96" i="4"/>
  <c r="V95" i="4"/>
  <c r="V94" i="4"/>
  <c r="V93" i="4"/>
  <c r="V92" i="4"/>
  <c r="V90" i="4"/>
  <c r="V89" i="4"/>
  <c r="V88" i="4"/>
  <c r="V87" i="4"/>
  <c r="V86" i="4"/>
  <c r="V85" i="4"/>
  <c r="V84" i="4"/>
  <c r="V83" i="4"/>
  <c r="C52" i="4"/>
  <c r="AR34" i="4" l="1"/>
  <c r="AE34" i="4"/>
  <c r="AJ34" i="4" s="1"/>
  <c r="AR32" i="4"/>
  <c r="AE32" i="4"/>
  <c r="AJ32" i="4" s="1"/>
  <c r="AG41" i="4"/>
  <c r="AD42" i="9"/>
  <c r="AD43" i="9" s="1"/>
  <c r="AQ20" i="9"/>
  <c r="AR20" i="9"/>
  <c r="AO9" i="9"/>
  <c r="AV9" i="9" s="1"/>
  <c r="AN18" i="9"/>
  <c r="W63" i="9"/>
  <c r="X63" i="9" s="1"/>
  <c r="AQ9" i="9"/>
  <c r="W64" i="9"/>
  <c r="X64" i="9" s="1"/>
  <c r="W89" i="9"/>
  <c r="X89" i="9" s="1"/>
  <c r="AD11" i="9"/>
  <c r="AF40" i="9"/>
  <c r="U77" i="9"/>
  <c r="U79" i="9" s="1"/>
  <c r="V65" i="9"/>
  <c r="W74" i="9"/>
  <c r="X74" i="9" s="1"/>
  <c r="W96" i="9"/>
  <c r="X96" i="9" s="1"/>
  <c r="W104" i="9"/>
  <c r="X104" i="9" s="1"/>
  <c r="AD14" i="9"/>
  <c r="AQ14" i="9" s="1"/>
  <c r="F60" i="9"/>
  <c r="W60" i="9" s="1"/>
  <c r="X60" i="9" s="1"/>
  <c r="W71" i="9"/>
  <c r="X71" i="9" s="1"/>
  <c r="W97" i="9"/>
  <c r="X97" i="9" s="1"/>
  <c r="V114" i="9"/>
  <c r="T114" i="9"/>
  <c r="P77" i="9"/>
  <c r="W106" i="9"/>
  <c r="X106" i="9" s="1"/>
  <c r="E77" i="9"/>
  <c r="T77" i="9"/>
  <c r="W92" i="9"/>
  <c r="X92" i="9" s="1"/>
  <c r="V66" i="9"/>
  <c r="W66" i="9" s="1"/>
  <c r="X66" i="9" s="1"/>
  <c r="D77" i="9"/>
  <c r="AQ36" i="9"/>
  <c r="W67" i="9"/>
  <c r="X67" i="9" s="1"/>
  <c r="I77" i="9"/>
  <c r="W93" i="9"/>
  <c r="X93" i="9" s="1"/>
  <c r="AA24" i="9"/>
  <c r="AE40" i="9"/>
  <c r="X51" i="9"/>
  <c r="W123" i="9"/>
  <c r="W126" i="9" s="1"/>
  <c r="F114" i="9"/>
  <c r="AD31" i="9"/>
  <c r="AN31" i="9" s="1"/>
  <c r="AR37" i="9"/>
  <c r="AQ37" i="9"/>
  <c r="AP37" i="9"/>
  <c r="AR36" i="9"/>
  <c r="AQ28" i="9"/>
  <c r="AN28" i="9"/>
  <c r="AR27" i="9"/>
  <c r="AR26" i="9"/>
  <c r="AN20" i="9"/>
  <c r="AM17" i="9"/>
  <c r="AN17" i="9"/>
  <c r="AQ17" i="9"/>
  <c r="AT17" i="9" s="1"/>
  <c r="AR15" i="9"/>
  <c r="AM13" i="9"/>
  <c r="AN13" i="9"/>
  <c r="AQ13" i="9"/>
  <c r="AM12" i="9"/>
  <c r="AN12" i="9"/>
  <c r="AQ12" i="9"/>
  <c r="AM33" i="9"/>
  <c r="AO33" i="9" s="1"/>
  <c r="AP33" i="9" s="1"/>
  <c r="AR33" i="9"/>
  <c r="AR32" i="9"/>
  <c r="AN32" i="9"/>
  <c r="AO32" i="9" s="1"/>
  <c r="AQ32" i="9"/>
  <c r="AA22" i="9"/>
  <c r="AN22" i="9"/>
  <c r="AO22" i="9" s="1"/>
  <c r="AP22" i="9" s="1"/>
  <c r="AQ22" i="9"/>
  <c r="AA14" i="9"/>
  <c r="AP38" i="9"/>
  <c r="AQ38" i="9"/>
  <c r="AR38" i="9"/>
  <c r="AV38" i="9"/>
  <c r="AO18" i="9"/>
  <c r="AP18" i="9" s="1"/>
  <c r="AR31" i="9"/>
  <c r="AQ31" i="9"/>
  <c r="AM31" i="9"/>
  <c r="AN16" i="9"/>
  <c r="AM16" i="9"/>
  <c r="AQ16" i="9"/>
  <c r="AR16" i="9"/>
  <c r="AA51" i="9"/>
  <c r="Z51" i="9"/>
  <c r="AR25" i="9"/>
  <c r="AQ25" i="9"/>
  <c r="AN25" i="9"/>
  <c r="AM25" i="9"/>
  <c r="AM34" i="9"/>
  <c r="AR34" i="9"/>
  <c r="AQ34" i="9"/>
  <c r="AN34" i="9"/>
  <c r="AM23" i="9"/>
  <c r="AN23" i="9"/>
  <c r="AR23" i="9"/>
  <c r="AQ23" i="9"/>
  <c r="U115" i="9"/>
  <c r="AR11" i="9"/>
  <c r="AQ11" i="9"/>
  <c r="AM11" i="9"/>
  <c r="AN11" i="9"/>
  <c r="W73" i="9"/>
  <c r="X73" i="9" s="1"/>
  <c r="W68" i="9"/>
  <c r="X68" i="9" s="1"/>
  <c r="AR24" i="9"/>
  <c r="AQ24" i="9"/>
  <c r="AN24" i="9"/>
  <c r="AM24" i="9"/>
  <c r="AP9" i="9"/>
  <c r="W55" i="9"/>
  <c r="V70" i="9"/>
  <c r="W70" i="9" s="1"/>
  <c r="X70" i="9" s="1"/>
  <c r="AT9" i="9"/>
  <c r="AR18" i="9"/>
  <c r="AN19" i="9"/>
  <c r="AA31" i="9"/>
  <c r="AV37" i="9"/>
  <c r="L77" i="9"/>
  <c r="V59" i="9"/>
  <c r="W59" i="9" s="1"/>
  <c r="X59" i="9" s="1"/>
  <c r="W101" i="9"/>
  <c r="AQ10" i="9"/>
  <c r="AM28" i="9"/>
  <c r="AM29" i="9"/>
  <c r="G47" i="9"/>
  <c r="W85" i="9"/>
  <c r="X85" i="9" s="1"/>
  <c r="W84" i="9"/>
  <c r="X84" i="9" s="1"/>
  <c r="AN29" i="9"/>
  <c r="AN10" i="9"/>
  <c r="AO10" i="9" s="1"/>
  <c r="AP10" i="9" s="1"/>
  <c r="AG24" i="9"/>
  <c r="AG40" i="9" s="1"/>
  <c r="AR10" i="9"/>
  <c r="AA16" i="9"/>
  <c r="AQ19" i="9"/>
  <c r="AM26" i="9"/>
  <c r="AM27" i="9"/>
  <c r="F65" i="9"/>
  <c r="AR22" i="9"/>
  <c r="AR19" i="9"/>
  <c r="AN26" i="9"/>
  <c r="AN27" i="9"/>
  <c r="G48" i="9"/>
  <c r="V48" i="9" s="1"/>
  <c r="AQ18" i="9"/>
  <c r="AM19" i="9"/>
  <c r="AQ29" i="9"/>
  <c r="AM15" i="9"/>
  <c r="M19" i="9"/>
  <c r="AR29" i="9"/>
  <c r="AM36" i="9"/>
  <c r="V73" i="9"/>
  <c r="AA9" i="9"/>
  <c r="L19" i="9"/>
  <c r="AN15" i="9"/>
  <c r="AM20" i="9"/>
  <c r="G49" i="9"/>
  <c r="V49" i="9" s="1"/>
  <c r="AA23" i="9"/>
  <c r="N116" i="4"/>
  <c r="V32" i="4"/>
  <c r="G41" i="4"/>
  <c r="G49" i="4" s="1"/>
  <c r="V49" i="4" s="1"/>
  <c r="U41" i="4"/>
  <c r="Z41" i="4"/>
  <c r="AN41" i="4"/>
  <c r="AO41" i="4"/>
  <c r="AP41" i="4"/>
  <c r="AW41" i="4"/>
  <c r="V44" i="4"/>
  <c r="X44" i="4"/>
  <c r="V45" i="4"/>
  <c r="X45" i="4"/>
  <c r="V46" i="4"/>
  <c r="X46" i="4"/>
  <c r="V47" i="4"/>
  <c r="X47" i="4"/>
  <c r="X48" i="4"/>
  <c r="X49" i="4"/>
  <c r="X50" i="4"/>
  <c r="X51" i="4"/>
  <c r="S74" i="4"/>
  <c r="S78" i="4" s="1"/>
  <c r="O74" i="4"/>
  <c r="I74" i="4"/>
  <c r="J74" i="4"/>
  <c r="J78" i="4" s="1"/>
  <c r="H74" i="4"/>
  <c r="D5" i="5"/>
  <c r="D3" i="5"/>
  <c r="U63" i="4"/>
  <c r="V63" i="4" s="1"/>
  <c r="U61" i="4"/>
  <c r="V61" i="4" s="1"/>
  <c r="T73" i="4"/>
  <c r="V73" i="4" s="1"/>
  <c r="T67" i="4"/>
  <c r="V67" i="4" s="1"/>
  <c r="T75" i="4"/>
  <c r="W100" i="4"/>
  <c r="R116" i="4"/>
  <c r="R78" i="4"/>
  <c r="T99" i="4"/>
  <c r="V99" i="4" s="1"/>
  <c r="T74" i="4"/>
  <c r="T71" i="4"/>
  <c r="G78" i="4"/>
  <c r="G116" i="4"/>
  <c r="F125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1" i="4"/>
  <c r="F102" i="4"/>
  <c r="F103" i="4"/>
  <c r="F105" i="4"/>
  <c r="F106" i="4"/>
  <c r="F108" i="4"/>
  <c r="F109" i="4"/>
  <c r="F110" i="4"/>
  <c r="F111" i="4"/>
  <c r="F112" i="4"/>
  <c r="F113" i="4"/>
  <c r="F114" i="4"/>
  <c r="F115" i="4"/>
  <c r="F83" i="4"/>
  <c r="Q69" i="4"/>
  <c r="V69" i="4" s="1"/>
  <c r="Q74" i="4"/>
  <c r="Q71" i="4"/>
  <c r="P74" i="4"/>
  <c r="H66" i="4"/>
  <c r="O66" i="4"/>
  <c r="P66" i="4"/>
  <c r="O75" i="4"/>
  <c r="V75" i="4" s="1"/>
  <c r="O91" i="4"/>
  <c r="V91" i="4" s="1"/>
  <c r="N74" i="4"/>
  <c r="N71" i="4"/>
  <c r="M78" i="4"/>
  <c r="K78" i="4"/>
  <c r="L74" i="4"/>
  <c r="L71" i="4"/>
  <c r="I66" i="4"/>
  <c r="E75" i="4"/>
  <c r="F75" i="4" s="1"/>
  <c r="E74" i="4"/>
  <c r="F74" i="4" s="1"/>
  <c r="C17" i="5"/>
  <c r="C3" i="5"/>
  <c r="F69" i="4"/>
  <c r="E67" i="4"/>
  <c r="F67" i="4" s="1"/>
  <c r="E66" i="4"/>
  <c r="F66" i="4" s="1"/>
  <c r="E64" i="4"/>
  <c r="F64" i="4" s="1"/>
  <c r="E62" i="4"/>
  <c r="F62" i="4" s="1"/>
  <c r="E58" i="4"/>
  <c r="F58" i="4" s="1"/>
  <c r="F72" i="4"/>
  <c r="F76" i="4"/>
  <c r="F57" i="4"/>
  <c r="F60" i="4"/>
  <c r="F63" i="4"/>
  <c r="F65" i="4"/>
  <c r="F56" i="4"/>
  <c r="V33" i="4"/>
  <c r="V34" i="4"/>
  <c r="V35" i="4"/>
  <c r="V36" i="4"/>
  <c r="V37" i="4"/>
  <c r="V39" i="4"/>
  <c r="V125" i="4"/>
  <c r="AS38" i="4"/>
  <c r="AS39" i="4"/>
  <c r="AF35" i="4"/>
  <c r="AC25" i="4"/>
  <c r="AF25" i="4" s="1"/>
  <c r="AB25" i="4"/>
  <c r="AA29" i="4"/>
  <c r="AF29" i="4"/>
  <c r="AF17" i="4"/>
  <c r="AA17" i="4"/>
  <c r="AF15" i="4"/>
  <c r="AA14" i="4"/>
  <c r="AA15" i="4"/>
  <c r="AA39" i="4"/>
  <c r="AA38" i="4"/>
  <c r="AA34" i="4"/>
  <c r="AF33" i="4"/>
  <c r="AA33" i="4"/>
  <c r="AB24" i="4"/>
  <c r="AC24" i="4"/>
  <c r="AF13" i="4"/>
  <c r="AA13" i="4"/>
  <c r="AB23" i="4"/>
  <c r="AC23" i="4"/>
  <c r="AF19" i="4"/>
  <c r="AF28" i="4"/>
  <c r="AA28" i="4"/>
  <c r="AF37" i="4"/>
  <c r="AA37" i="4"/>
  <c r="AR10" i="4"/>
  <c r="AA10" i="4"/>
  <c r="AB22" i="4"/>
  <c r="AC22" i="4"/>
  <c r="AB16" i="4"/>
  <c r="AC16" i="4"/>
  <c r="AB20" i="4"/>
  <c r="AC20" i="4"/>
  <c r="AC11" i="4"/>
  <c r="AB11" i="4"/>
  <c r="AA19" i="4"/>
  <c r="AA18" i="4"/>
  <c r="AF26" i="4"/>
  <c r="AA26" i="4"/>
  <c r="AA27" i="4"/>
  <c r="AF27" i="4"/>
  <c r="AF14" i="4"/>
  <c r="AF9" i="4"/>
  <c r="AR9" i="4" s="1"/>
  <c r="AH24" i="4"/>
  <c r="AH25" i="4"/>
  <c r="V116" i="4" l="1"/>
  <c r="AR25" i="4"/>
  <c r="AE25" i="4"/>
  <c r="AJ25" i="4" s="1"/>
  <c r="AR35" i="4"/>
  <c r="AE35" i="4"/>
  <c r="AJ35" i="4" s="1"/>
  <c r="V66" i="4"/>
  <c r="AR33" i="4"/>
  <c r="AE33" i="4"/>
  <c r="AJ33" i="4" s="1"/>
  <c r="AR14" i="4"/>
  <c r="AE14" i="4"/>
  <c r="AJ14" i="4" s="1"/>
  <c r="V74" i="4"/>
  <c r="AR13" i="4"/>
  <c r="AE13" i="4"/>
  <c r="AJ13" i="4" s="1"/>
  <c r="AR37" i="4"/>
  <c r="AE37" i="4"/>
  <c r="AJ37" i="4" s="1"/>
  <c r="F116" i="4"/>
  <c r="AR27" i="4"/>
  <c r="AE27" i="4"/>
  <c r="AJ27" i="4" s="1"/>
  <c r="AR28" i="4"/>
  <c r="AE28" i="4"/>
  <c r="AJ28" i="4" s="1"/>
  <c r="AR19" i="4"/>
  <c r="AE19" i="4"/>
  <c r="AJ19" i="4" s="1"/>
  <c r="AR29" i="4"/>
  <c r="AE29" i="4"/>
  <c r="AJ29" i="4" s="1"/>
  <c r="L77" i="4"/>
  <c r="V71" i="4"/>
  <c r="AR15" i="4"/>
  <c r="AE15" i="4"/>
  <c r="AJ15" i="4" s="1"/>
  <c r="AR26" i="4"/>
  <c r="AE26" i="4"/>
  <c r="AJ26" i="4" s="1"/>
  <c r="AR17" i="4"/>
  <c r="AE17" i="4"/>
  <c r="AJ17" i="4" s="1"/>
  <c r="W125" i="4"/>
  <c r="AD44" i="9"/>
  <c r="AU17" i="9"/>
  <c r="W17" i="9"/>
  <c r="X17" i="9" s="1"/>
  <c r="AT37" i="9"/>
  <c r="AU37" i="9" s="1"/>
  <c r="AT32" i="9"/>
  <c r="W32" i="9" s="1"/>
  <c r="X32" i="9" s="1"/>
  <c r="AN14" i="9"/>
  <c r="AT13" i="9"/>
  <c r="AM14" i="9"/>
  <c r="AM40" i="9" s="1"/>
  <c r="AR14" i="9"/>
  <c r="AR40" i="9" s="1"/>
  <c r="X114" i="9"/>
  <c r="Z114" i="9" s="1"/>
  <c r="W65" i="9"/>
  <c r="X65" i="9" s="1"/>
  <c r="F77" i="9"/>
  <c r="AT38" i="9"/>
  <c r="AU38" i="9" s="1"/>
  <c r="W37" i="9"/>
  <c r="X37" i="9" s="1"/>
  <c r="E37" i="9"/>
  <c r="D37" i="9"/>
  <c r="F37" i="9" s="1"/>
  <c r="AV18" i="9"/>
  <c r="AT18" i="9"/>
  <c r="AU18" i="9" s="1"/>
  <c r="O17" i="9"/>
  <c r="V17" i="9" s="1"/>
  <c r="AO17" i="9"/>
  <c r="AO13" i="9"/>
  <c r="AO12" i="9"/>
  <c r="AP12" i="9" s="1"/>
  <c r="AT12" i="9"/>
  <c r="AV12" i="9"/>
  <c r="AT10" i="9"/>
  <c r="AU10" i="9" s="1"/>
  <c r="AV10" i="9"/>
  <c r="AV33" i="9"/>
  <c r="AT33" i="9"/>
  <c r="W33" i="9" s="1"/>
  <c r="X33" i="9" s="1"/>
  <c r="AT22" i="9"/>
  <c r="AT14" i="9"/>
  <c r="L14" i="9" s="1"/>
  <c r="V14" i="9" s="1"/>
  <c r="AO14" i="9"/>
  <c r="AN40" i="9"/>
  <c r="AQ40" i="9"/>
  <c r="AT19" i="9"/>
  <c r="AO19" i="9"/>
  <c r="X55" i="9"/>
  <c r="AO36" i="9"/>
  <c r="AT36" i="9"/>
  <c r="AO16" i="9"/>
  <c r="AT16" i="9"/>
  <c r="AT15" i="9"/>
  <c r="AO15" i="9"/>
  <c r="AT26" i="9"/>
  <c r="AO26" i="9"/>
  <c r="V47" i="9"/>
  <c r="V51" i="9" s="1"/>
  <c r="G51" i="9"/>
  <c r="G52" i="9" s="1"/>
  <c r="G79" i="9" s="1"/>
  <c r="AT24" i="9"/>
  <c r="AO24" i="9"/>
  <c r="E32" i="9"/>
  <c r="AU32" i="9"/>
  <c r="D32" i="9"/>
  <c r="AV22" i="9"/>
  <c r="AP32" i="9"/>
  <c r="AV32" i="9"/>
  <c r="AT31" i="9"/>
  <c r="AO31" i="9"/>
  <c r="AT27" i="9"/>
  <c r="AO27" i="9"/>
  <c r="AO34" i="9"/>
  <c r="AT34" i="9"/>
  <c r="AT11" i="9"/>
  <c r="AO11" i="9"/>
  <c r="O9" i="9"/>
  <c r="AU9" i="9"/>
  <c r="Q9" i="9"/>
  <c r="AT29" i="9"/>
  <c r="AO29" i="9"/>
  <c r="AO20" i="9"/>
  <c r="AT20" i="9"/>
  <c r="AT28" i="9"/>
  <c r="AO28" i="9"/>
  <c r="W114" i="9"/>
  <c r="W9" i="9"/>
  <c r="AT23" i="9"/>
  <c r="AO23" i="9"/>
  <c r="AT25" i="9"/>
  <c r="AO25" i="9"/>
  <c r="AF11" i="4"/>
  <c r="AH41" i="4"/>
  <c r="G51" i="4"/>
  <c r="V51" i="4" s="1"/>
  <c r="G48" i="4"/>
  <c r="V48" i="4" s="1"/>
  <c r="G50" i="4"/>
  <c r="V50" i="4" s="1"/>
  <c r="X52" i="4"/>
  <c r="Z52" i="4" s="1"/>
  <c r="H78" i="4"/>
  <c r="I78" i="4"/>
  <c r="N78" i="4"/>
  <c r="AQ37" i="4"/>
  <c r="AQ27" i="4"/>
  <c r="AQ26" i="4"/>
  <c r="AU35" i="4"/>
  <c r="AU33" i="4"/>
  <c r="AV29" i="4"/>
  <c r="AV26" i="4"/>
  <c r="AV17" i="4"/>
  <c r="AU28" i="4"/>
  <c r="AU26" i="4"/>
  <c r="AU25" i="4"/>
  <c r="AV37" i="4"/>
  <c r="AQ29" i="4"/>
  <c r="AV33" i="4"/>
  <c r="AV27" i="4"/>
  <c r="AQ25" i="4"/>
  <c r="AQ19" i="4"/>
  <c r="AQ10" i="4"/>
  <c r="AU27" i="4"/>
  <c r="AU10" i="4"/>
  <c r="AQ9" i="4"/>
  <c r="AV9" i="4"/>
  <c r="AV19" i="4"/>
  <c r="AQ17" i="4"/>
  <c r="AQ35" i="4"/>
  <c r="AQ34" i="4"/>
  <c r="AQ15" i="4"/>
  <c r="AQ33" i="4"/>
  <c r="AQ14" i="4"/>
  <c r="AU9" i="4"/>
  <c r="AV35" i="4"/>
  <c r="AQ13" i="4"/>
  <c r="AU19" i="4"/>
  <c r="AV34" i="4"/>
  <c r="AV15" i="4"/>
  <c r="AV14" i="4"/>
  <c r="AQ28" i="4"/>
  <c r="AU37" i="4"/>
  <c r="AU17" i="4"/>
  <c r="AV13" i="4"/>
  <c r="AU34" i="4"/>
  <c r="AU15" i="4"/>
  <c r="AV28" i="4"/>
  <c r="AV10" i="4"/>
  <c r="AU14" i="4"/>
  <c r="AU13" i="4"/>
  <c r="AU29" i="4"/>
  <c r="AV25" i="4"/>
  <c r="AA25" i="4"/>
  <c r="AA35" i="4"/>
  <c r="AF24" i="4"/>
  <c r="AF18" i="4"/>
  <c r="AA12" i="4"/>
  <c r="AA23" i="4"/>
  <c r="AF38" i="4"/>
  <c r="C164" i="4" s="1"/>
  <c r="D164" i="4" s="1"/>
  <c r="AF12" i="4"/>
  <c r="AF20" i="4"/>
  <c r="AF23" i="4"/>
  <c r="AA24" i="4"/>
  <c r="AF22" i="4"/>
  <c r="AA32" i="4"/>
  <c r="AF39" i="4"/>
  <c r="AA20" i="4"/>
  <c r="AA22" i="4"/>
  <c r="AF16" i="4"/>
  <c r="AA16" i="4"/>
  <c r="AR12" i="4" l="1"/>
  <c r="AE12" i="4"/>
  <c r="AJ12" i="4" s="1"/>
  <c r="AR11" i="4"/>
  <c r="AE11" i="4"/>
  <c r="AR18" i="4"/>
  <c r="AE18" i="4"/>
  <c r="AJ18" i="4" s="1"/>
  <c r="AR22" i="4"/>
  <c r="AE22" i="4"/>
  <c r="AJ22" i="4" s="1"/>
  <c r="AR24" i="4"/>
  <c r="AE24" i="4"/>
  <c r="AJ24" i="4" s="1"/>
  <c r="AR20" i="4"/>
  <c r="AE20" i="4"/>
  <c r="AJ20" i="4" s="1"/>
  <c r="AR16" i="4"/>
  <c r="AE16" i="4"/>
  <c r="AJ16" i="4" s="1"/>
  <c r="AR23" i="4"/>
  <c r="AE23" i="4"/>
  <c r="AJ23" i="4" s="1"/>
  <c r="AF53" i="4"/>
  <c r="AF41" i="4"/>
  <c r="AD45" i="9"/>
  <c r="AD46" i="9"/>
  <c r="AU13" i="9"/>
  <c r="T13" i="9"/>
  <c r="V13" i="9" s="1"/>
  <c r="W13" i="9"/>
  <c r="X13" i="9" s="1"/>
  <c r="R10" i="9"/>
  <c r="O10" i="9"/>
  <c r="O76" i="9" s="1"/>
  <c r="W10" i="9"/>
  <c r="X10" i="9" s="1"/>
  <c r="Q10" i="9"/>
  <c r="W38" i="9"/>
  <c r="X38" i="9" s="1"/>
  <c r="D38" i="9"/>
  <c r="E38" i="9"/>
  <c r="F38" i="9" s="1"/>
  <c r="T18" i="9"/>
  <c r="M18" i="9" s="1"/>
  <c r="V18" i="9" s="1"/>
  <c r="W18" i="9"/>
  <c r="X18" i="9" s="1"/>
  <c r="AP17" i="9"/>
  <c r="AV17" i="9"/>
  <c r="AP13" i="9"/>
  <c r="AV13" i="9"/>
  <c r="W12" i="9"/>
  <c r="X12" i="9" s="1"/>
  <c r="T12" i="9"/>
  <c r="V12" i="9" s="1"/>
  <c r="AU12" i="9"/>
  <c r="AU33" i="9"/>
  <c r="D33" i="9"/>
  <c r="E33" i="9"/>
  <c r="AO40" i="9"/>
  <c r="AP40" i="9" s="1"/>
  <c r="AU22" i="9"/>
  <c r="W22" i="9"/>
  <c r="X22" i="9" s="1"/>
  <c r="R22" i="9"/>
  <c r="P22" i="9" s="1"/>
  <c r="V22" i="9" s="1"/>
  <c r="W14" i="9"/>
  <c r="X14" i="9" s="1"/>
  <c r="AU14" i="9"/>
  <c r="AP14" i="9"/>
  <c r="AV14" i="9"/>
  <c r="AT40" i="9"/>
  <c r="AU40" i="9" s="1"/>
  <c r="AU34" i="9"/>
  <c r="W34" i="9"/>
  <c r="X34" i="9" s="1"/>
  <c r="E34" i="9"/>
  <c r="D34" i="9"/>
  <c r="AP19" i="9"/>
  <c r="AV19" i="9"/>
  <c r="AV28" i="9"/>
  <c r="AP28" i="9"/>
  <c r="AP34" i="9"/>
  <c r="AV34" i="9"/>
  <c r="AP24" i="9"/>
  <c r="AV24" i="9"/>
  <c r="AU19" i="9"/>
  <c r="T19" i="9"/>
  <c r="W19" i="9"/>
  <c r="X19" i="9" s="1"/>
  <c r="AU16" i="9"/>
  <c r="W16" i="9"/>
  <c r="X16" i="9" s="1"/>
  <c r="O16" i="9"/>
  <c r="V16" i="9" s="1"/>
  <c r="AU28" i="9"/>
  <c r="W28" i="9"/>
  <c r="Q28" i="9"/>
  <c r="V28" i="9" s="1"/>
  <c r="Q20" i="9"/>
  <c r="R20" i="9"/>
  <c r="O20" i="9"/>
  <c r="L20" i="9"/>
  <c r="AU20" i="9"/>
  <c r="T20" i="9"/>
  <c r="W20" i="9"/>
  <c r="X20" i="9" s="1"/>
  <c r="P20" i="9"/>
  <c r="AP20" i="9"/>
  <c r="AV20" i="9"/>
  <c r="O77" i="9"/>
  <c r="V76" i="9"/>
  <c r="AU24" i="9"/>
  <c r="Q24" i="9"/>
  <c r="V24" i="9" s="1"/>
  <c r="W24" i="9"/>
  <c r="X24" i="9" s="1"/>
  <c r="G115" i="9"/>
  <c r="AV29" i="9"/>
  <c r="AP29" i="9"/>
  <c r="AV26" i="9"/>
  <c r="AP26" i="9"/>
  <c r="K10" i="9"/>
  <c r="W29" i="9"/>
  <c r="X29" i="9" s="1"/>
  <c r="AU29" i="9"/>
  <c r="Q29" i="9"/>
  <c r="V29" i="9" s="1"/>
  <c r="AV27" i="9"/>
  <c r="AP27" i="9"/>
  <c r="AU26" i="9"/>
  <c r="Q26" i="9"/>
  <c r="V26" i="9" s="1"/>
  <c r="W26" i="9"/>
  <c r="X26" i="9" s="1"/>
  <c r="AP23" i="9"/>
  <c r="AV23" i="9"/>
  <c r="I9" i="9"/>
  <c r="AU27" i="9"/>
  <c r="Q27" i="9"/>
  <c r="V27" i="9" s="1"/>
  <c r="W27" i="9"/>
  <c r="X27" i="9" s="1"/>
  <c r="AP15" i="9"/>
  <c r="AV15" i="9"/>
  <c r="AP25" i="9"/>
  <c r="AV25" i="9"/>
  <c r="AP31" i="9"/>
  <c r="AV31" i="9"/>
  <c r="AU15" i="9"/>
  <c r="W15" i="9"/>
  <c r="N15" i="9"/>
  <c r="AU25" i="9"/>
  <c r="W25" i="9"/>
  <c r="X25" i="9" s="1"/>
  <c r="Q25" i="9"/>
  <c r="V25" i="9" s="1"/>
  <c r="AU31" i="9"/>
  <c r="E31" i="9"/>
  <c r="D31" i="9"/>
  <c r="W31" i="9"/>
  <c r="X31" i="9" s="1"/>
  <c r="AU23" i="9"/>
  <c r="W23" i="9"/>
  <c r="X23" i="9" s="1"/>
  <c r="R23" i="9"/>
  <c r="P23" i="9" s="1"/>
  <c r="V23" i="9" s="1"/>
  <c r="AP16" i="9"/>
  <c r="AV16" i="9"/>
  <c r="AU36" i="9"/>
  <c r="E36" i="9"/>
  <c r="D36" i="9"/>
  <c r="F36" i="9" s="1"/>
  <c r="W36" i="9"/>
  <c r="X36" i="9" s="1"/>
  <c r="AP11" i="9"/>
  <c r="AV11" i="9"/>
  <c r="AP36" i="9"/>
  <c r="AV36" i="9"/>
  <c r="X9" i="9"/>
  <c r="AU11" i="9"/>
  <c r="P11" i="9"/>
  <c r="O11" i="9"/>
  <c r="M11" i="9"/>
  <c r="L11" i="9"/>
  <c r="W11" i="9"/>
  <c r="X11" i="9" s="1"/>
  <c r="R11" i="9"/>
  <c r="Q11" i="9"/>
  <c r="F32" i="9"/>
  <c r="V52" i="4"/>
  <c r="G52" i="4"/>
  <c r="G53" i="4" s="1"/>
  <c r="G80" i="4" s="1"/>
  <c r="AA52" i="4"/>
  <c r="AT39" i="4"/>
  <c r="AZ39" i="4"/>
  <c r="AT38" i="4"/>
  <c r="AZ38" i="4"/>
  <c r="AX14" i="4"/>
  <c r="L14" i="4" s="1"/>
  <c r="V14" i="4" s="1"/>
  <c r="AS14" i="4"/>
  <c r="AS10" i="4"/>
  <c r="AX10" i="4"/>
  <c r="AX13" i="4"/>
  <c r="W13" i="4" s="1"/>
  <c r="AS13" i="4"/>
  <c r="AS9" i="4"/>
  <c r="AX9" i="4"/>
  <c r="AS19" i="4"/>
  <c r="AX19" i="4"/>
  <c r="AS26" i="4"/>
  <c r="AX26" i="4"/>
  <c r="W26" i="4" s="1"/>
  <c r="AX33" i="4"/>
  <c r="AS33" i="4"/>
  <c r="AX15" i="4"/>
  <c r="W15" i="4" s="1"/>
  <c r="AS15" i="4"/>
  <c r="AS25" i="4"/>
  <c r="AX25" i="4"/>
  <c r="W25" i="4" s="1"/>
  <c r="AS28" i="4"/>
  <c r="AX28" i="4"/>
  <c r="W28" i="4" s="1"/>
  <c r="AX34" i="4"/>
  <c r="AS34" i="4"/>
  <c r="AX27" i="4"/>
  <c r="W27" i="4" s="1"/>
  <c r="AS27" i="4"/>
  <c r="AS37" i="4"/>
  <c r="AX37" i="4"/>
  <c r="AX35" i="4"/>
  <c r="AS35" i="4"/>
  <c r="AX29" i="4"/>
  <c r="W29" i="4" s="1"/>
  <c r="AS29" i="4"/>
  <c r="AS17" i="4"/>
  <c r="AX17" i="4"/>
  <c r="W17" i="4" s="1"/>
  <c r="AU32" i="4"/>
  <c r="AV32" i="4"/>
  <c r="AQ32" i="4"/>
  <c r="AV11" i="4"/>
  <c r="AQ11" i="4"/>
  <c r="AU11" i="4"/>
  <c r="AU39" i="4"/>
  <c r="AV39" i="4"/>
  <c r="AU18" i="4"/>
  <c r="AV18" i="4"/>
  <c r="AQ18" i="4"/>
  <c r="AU16" i="4"/>
  <c r="AV16" i="4"/>
  <c r="AQ16" i="4"/>
  <c r="AU22" i="4"/>
  <c r="AV22" i="4"/>
  <c r="AQ22" i="4"/>
  <c r="AQ23" i="4"/>
  <c r="AU23" i="4"/>
  <c r="AV23" i="4"/>
  <c r="AU38" i="4"/>
  <c r="AV38" i="4"/>
  <c r="AQ24" i="4"/>
  <c r="AU24" i="4"/>
  <c r="AV24" i="4"/>
  <c r="AU20" i="4"/>
  <c r="AV20" i="4"/>
  <c r="AQ20" i="4"/>
  <c r="AU12" i="4"/>
  <c r="AV12" i="4"/>
  <c r="AQ12" i="4"/>
  <c r="W103" i="4"/>
  <c r="W101" i="4"/>
  <c r="W98" i="4"/>
  <c r="W99" i="4"/>
  <c r="W108" i="4"/>
  <c r="K116" i="4"/>
  <c r="O64" i="4"/>
  <c r="L64" i="4"/>
  <c r="L116" i="4"/>
  <c r="Q78" i="4"/>
  <c r="G117" i="4" l="1"/>
  <c r="AJ11" i="4"/>
  <c r="AE53" i="4"/>
  <c r="AE54" i="4" s="1"/>
  <c r="L78" i="4"/>
  <c r="V64" i="4"/>
  <c r="AF42" i="4"/>
  <c r="AF43" i="4" s="1"/>
  <c r="AD47" i="9"/>
  <c r="AD48" i="9" s="1"/>
  <c r="AD49" i="9" s="1"/>
  <c r="S20" i="9"/>
  <c r="S40" i="9" s="1"/>
  <c r="S52" i="9" s="1"/>
  <c r="S79" i="9" s="1"/>
  <c r="S115" i="9" s="1"/>
  <c r="F34" i="9"/>
  <c r="L40" i="9"/>
  <c r="L52" i="9" s="1"/>
  <c r="L79" i="9" s="1"/>
  <c r="L115" i="9" s="1"/>
  <c r="M40" i="9"/>
  <c r="M52" i="9" s="1"/>
  <c r="M79" i="9" s="1"/>
  <c r="M115" i="9" s="1"/>
  <c r="T40" i="9"/>
  <c r="T52" i="9" s="1"/>
  <c r="T79" i="9" s="1"/>
  <c r="T115" i="9" s="1"/>
  <c r="T120" i="9" s="1"/>
  <c r="E40" i="9"/>
  <c r="E52" i="9" s="1"/>
  <c r="E79" i="9" s="1"/>
  <c r="E115" i="9" s="1"/>
  <c r="E127" i="9" s="1"/>
  <c r="Q40" i="9"/>
  <c r="Q52" i="9" s="1"/>
  <c r="Q79" i="9" s="1"/>
  <c r="Q115" i="9" s="1"/>
  <c r="R40" i="9"/>
  <c r="R52" i="9" s="1"/>
  <c r="R79" i="9" s="1"/>
  <c r="R115" i="9" s="1"/>
  <c r="O40" i="9"/>
  <c r="O52" i="9" s="1"/>
  <c r="O79" i="9" s="1"/>
  <c r="O115" i="9" s="1"/>
  <c r="F31" i="9"/>
  <c r="F40" i="9" s="1"/>
  <c r="F52" i="9" s="1"/>
  <c r="F79" i="9" s="1"/>
  <c r="F115" i="9" s="1"/>
  <c r="D40" i="9"/>
  <c r="D52" i="9" s="1"/>
  <c r="D79" i="9" s="1"/>
  <c r="D115" i="9" s="1"/>
  <c r="I40" i="9"/>
  <c r="I52" i="9" s="1"/>
  <c r="I79" i="9" s="1"/>
  <c r="I115" i="9" s="1"/>
  <c r="V9" i="9"/>
  <c r="V20" i="9"/>
  <c r="K40" i="9"/>
  <c r="K52" i="9" s="1"/>
  <c r="K79" i="9" s="1"/>
  <c r="K115" i="9" s="1"/>
  <c r="V10" i="9"/>
  <c r="N40" i="9"/>
  <c r="N52" i="9" s="1"/>
  <c r="N79" i="9" s="1"/>
  <c r="N115" i="9" s="1"/>
  <c r="V15" i="9"/>
  <c r="H11" i="9"/>
  <c r="W76" i="9"/>
  <c r="W77" i="9" s="1"/>
  <c r="V77" i="9"/>
  <c r="P40" i="9"/>
  <c r="P52" i="9" s="1"/>
  <c r="P79" i="9" s="1"/>
  <c r="P115" i="9" s="1"/>
  <c r="W40" i="9"/>
  <c r="J19" i="9"/>
  <c r="D35" i="4"/>
  <c r="E35" i="4"/>
  <c r="AU41" i="4"/>
  <c r="W19" i="4"/>
  <c r="AV41" i="4"/>
  <c r="D34" i="4"/>
  <c r="E34" i="4"/>
  <c r="E33" i="4"/>
  <c r="D33" i="4"/>
  <c r="E37" i="4"/>
  <c r="D37" i="4"/>
  <c r="AR41" i="4"/>
  <c r="O10" i="4"/>
  <c r="AQ41" i="4"/>
  <c r="AY34" i="4"/>
  <c r="Q10" i="4"/>
  <c r="R10" i="4"/>
  <c r="W10" i="4"/>
  <c r="Q9" i="4"/>
  <c r="W9" i="4"/>
  <c r="AY14" i="4"/>
  <c r="W14" i="4"/>
  <c r="AY33" i="4"/>
  <c r="W33" i="4"/>
  <c r="AY35" i="4"/>
  <c r="W35" i="4"/>
  <c r="AY37" i="4"/>
  <c r="W37" i="4"/>
  <c r="AY28" i="4"/>
  <c r="Q28" i="4"/>
  <c r="AY25" i="4"/>
  <c r="Q25" i="4"/>
  <c r="V25" i="4" s="1"/>
  <c r="AY29" i="4"/>
  <c r="Q29" i="4"/>
  <c r="AY19" i="4"/>
  <c r="T19" i="4"/>
  <c r="AY26" i="4"/>
  <c r="Q26" i="4"/>
  <c r="V26" i="4" s="1"/>
  <c r="AY27" i="4"/>
  <c r="Q27" i="4"/>
  <c r="V27" i="4" s="1"/>
  <c r="AY13" i="4"/>
  <c r="T13" i="4"/>
  <c r="V13" i="4" s="1"/>
  <c r="AY9" i="4"/>
  <c r="O9" i="4"/>
  <c r="AY10" i="4"/>
  <c r="AY17" i="4"/>
  <c r="O17" i="4"/>
  <c r="V17" i="4" s="1"/>
  <c r="AY15" i="4"/>
  <c r="N15" i="4"/>
  <c r="V15" i="4" s="1"/>
  <c r="AT15" i="4"/>
  <c r="AZ15" i="4"/>
  <c r="AT17" i="4"/>
  <c r="AZ17" i="4"/>
  <c r="AT35" i="4"/>
  <c r="AZ35" i="4"/>
  <c r="AT26" i="4"/>
  <c r="AZ26" i="4"/>
  <c r="AT25" i="4"/>
  <c r="AZ25" i="4"/>
  <c r="AT33" i="4"/>
  <c r="AZ33" i="4"/>
  <c r="AT37" i="4"/>
  <c r="AZ37" i="4"/>
  <c r="AT19" i="4"/>
  <c r="AZ19" i="4"/>
  <c r="AT29" i="4"/>
  <c r="AZ29" i="4"/>
  <c r="AT27" i="4"/>
  <c r="AZ27" i="4"/>
  <c r="AT9" i="4"/>
  <c r="AZ9" i="4"/>
  <c r="AT13" i="4"/>
  <c r="AZ13" i="4"/>
  <c r="AT28" i="4"/>
  <c r="AZ28" i="4"/>
  <c r="AT10" i="4"/>
  <c r="AZ10" i="4"/>
  <c r="AT34" i="4"/>
  <c r="AZ34" i="4"/>
  <c r="AT14" i="4"/>
  <c r="AZ14" i="4"/>
  <c r="W91" i="4"/>
  <c r="W96" i="4"/>
  <c r="AX38" i="4"/>
  <c r="AX39" i="4"/>
  <c r="AS22" i="4"/>
  <c r="AX22" i="4"/>
  <c r="AX12" i="4"/>
  <c r="W12" i="4" s="1"/>
  <c r="AS12" i="4"/>
  <c r="AS18" i="4"/>
  <c r="AX18" i="4"/>
  <c r="T18" i="4" s="1"/>
  <c r="AS23" i="4"/>
  <c r="AX23" i="4"/>
  <c r="AS20" i="4"/>
  <c r="AX20" i="4"/>
  <c r="AX11" i="4"/>
  <c r="AS11" i="4"/>
  <c r="AS24" i="4"/>
  <c r="AX24" i="4"/>
  <c r="W24" i="4" s="1"/>
  <c r="AX16" i="4"/>
  <c r="W16" i="4" s="1"/>
  <c r="AS16" i="4"/>
  <c r="AX32" i="4"/>
  <c r="AS32" i="4"/>
  <c r="O116" i="4"/>
  <c r="V28" i="4" l="1"/>
  <c r="C165" i="4"/>
  <c r="D165" i="4" s="1"/>
  <c r="AX53" i="4"/>
  <c r="AF44" i="4"/>
  <c r="AF45" i="4" s="1"/>
  <c r="AD50" i="9"/>
  <c r="AD51" i="9" s="1"/>
  <c r="AU52" i="9" s="1"/>
  <c r="E120" i="9"/>
  <c r="F127" i="9"/>
  <c r="F129" i="9" s="1"/>
  <c r="F120" i="9"/>
  <c r="H40" i="9"/>
  <c r="H52" i="9" s="1"/>
  <c r="H79" i="9" s="1"/>
  <c r="V11" i="9"/>
  <c r="X77" i="9"/>
  <c r="V19" i="9"/>
  <c r="V40" i="9" s="1"/>
  <c r="V52" i="9" s="1"/>
  <c r="J40" i="9"/>
  <c r="J52" i="9" s="1"/>
  <c r="J79" i="9" s="1"/>
  <c r="J115" i="9" s="1"/>
  <c r="W52" i="9"/>
  <c r="W79" i="9" s="1"/>
  <c r="W115" i="9" s="1"/>
  <c r="AA40" i="9"/>
  <c r="X40" i="9"/>
  <c r="X52" i="9" s="1"/>
  <c r="AS41" i="4"/>
  <c r="AT41" i="4" s="1"/>
  <c r="E39" i="4"/>
  <c r="D39" i="4"/>
  <c r="E32" i="4"/>
  <c r="D32" i="4"/>
  <c r="D38" i="4"/>
  <c r="E38" i="4"/>
  <c r="L20" i="4"/>
  <c r="P20" i="4"/>
  <c r="O77" i="4"/>
  <c r="V77" i="4" s="1"/>
  <c r="AX41" i="4"/>
  <c r="AY41" i="4" s="1"/>
  <c r="P11" i="4"/>
  <c r="L11" i="4"/>
  <c r="M11" i="4"/>
  <c r="K10" i="4"/>
  <c r="V10" i="4" s="1"/>
  <c r="N41" i="4"/>
  <c r="N53" i="4" s="1"/>
  <c r="N80" i="4" s="1"/>
  <c r="N117" i="4" s="1"/>
  <c r="Q11" i="4"/>
  <c r="O11" i="4"/>
  <c r="R11" i="4"/>
  <c r="W11" i="4"/>
  <c r="R20" i="4"/>
  <c r="W20" i="4"/>
  <c r="AY39" i="4"/>
  <c r="W39" i="4"/>
  <c r="W22" i="4"/>
  <c r="R22" i="4"/>
  <c r="P22" i="4" s="1"/>
  <c r="V22" i="4" s="1"/>
  <c r="W23" i="4"/>
  <c r="R23" i="4"/>
  <c r="P23" i="4" s="1"/>
  <c r="V23" i="4" s="1"/>
  <c r="M18" i="4"/>
  <c r="V18" i="4" s="1"/>
  <c r="W18" i="4"/>
  <c r="AY38" i="4"/>
  <c r="W38" i="4"/>
  <c r="AY32" i="4"/>
  <c r="W32" i="4"/>
  <c r="AY12" i="4"/>
  <c r="T12" i="4"/>
  <c r="V12" i="4" s="1"/>
  <c r="T20" i="4"/>
  <c r="Q20" i="4"/>
  <c r="AY22" i="4"/>
  <c r="AY23" i="4"/>
  <c r="AY24" i="4"/>
  <c r="Q24" i="4"/>
  <c r="V24" i="4" s="1"/>
  <c r="AY18" i="4"/>
  <c r="AY16" i="4"/>
  <c r="O16" i="4"/>
  <c r="V16" i="4" s="1"/>
  <c r="AY11" i="4"/>
  <c r="AY20" i="4"/>
  <c r="O20" i="4"/>
  <c r="AT16" i="4"/>
  <c r="AZ16" i="4"/>
  <c r="AT32" i="4"/>
  <c r="AZ32" i="4"/>
  <c r="AT24" i="4"/>
  <c r="AZ24" i="4"/>
  <c r="AT23" i="4"/>
  <c r="AZ23" i="4"/>
  <c r="AT18" i="4"/>
  <c r="AZ18" i="4"/>
  <c r="AT12" i="4"/>
  <c r="AZ12" i="4"/>
  <c r="AT22" i="4"/>
  <c r="AZ22" i="4"/>
  <c r="AT11" i="4"/>
  <c r="AZ11" i="4"/>
  <c r="AT20" i="4"/>
  <c r="AZ20" i="4"/>
  <c r="AI27" i="4"/>
  <c r="AI29" i="4"/>
  <c r="AI26" i="4"/>
  <c r="AI10" i="4"/>
  <c r="AI17" i="4"/>
  <c r="AI16" i="4"/>
  <c r="AI13" i="4"/>
  <c r="AI35" i="4"/>
  <c r="AF46" i="4" l="1"/>
  <c r="AF47" i="4" s="1"/>
  <c r="AF48" i="4" s="1"/>
  <c r="W127" i="9"/>
  <c r="W117" i="9"/>
  <c r="Z115" i="9"/>
  <c r="W120" i="9"/>
  <c r="Z52" i="9"/>
  <c r="X79" i="9"/>
  <c r="Z79" i="9" s="1"/>
  <c r="H115" i="9"/>
  <c r="V115" i="9" s="1"/>
  <c r="V129" i="9" s="1"/>
  <c r="W129" i="9" s="1"/>
  <c r="V79" i="9"/>
  <c r="S20" i="4"/>
  <c r="V20" i="4" s="1"/>
  <c r="R41" i="4"/>
  <c r="R53" i="4" s="1"/>
  <c r="R80" i="4" s="1"/>
  <c r="R117" i="4" s="1"/>
  <c r="K41" i="4"/>
  <c r="W41" i="4"/>
  <c r="AA41" i="4" s="1"/>
  <c r="Q41" i="4"/>
  <c r="H11" i="4"/>
  <c r="V11" i="4" s="1"/>
  <c r="T41" i="4"/>
  <c r="AI25" i="4"/>
  <c r="AI24" i="4"/>
  <c r="AI32" i="4"/>
  <c r="AF49" i="4" l="1"/>
  <c r="AF50" i="4" s="1"/>
  <c r="X41" i="4"/>
  <c r="X53" i="4" s="1"/>
  <c r="AB53" i="4" s="1"/>
  <c r="O41" i="4"/>
  <c r="F32" i="4"/>
  <c r="V38" i="4"/>
  <c r="W77" i="4"/>
  <c r="O78" i="4"/>
  <c r="V29" i="4"/>
  <c r="AI34" i="4"/>
  <c r="AI20" i="4"/>
  <c r="F121" i="4"/>
  <c r="D116" i="4"/>
  <c r="X96" i="4"/>
  <c r="X98" i="4"/>
  <c r="X101" i="4"/>
  <c r="X108" i="4"/>
  <c r="W73" i="4"/>
  <c r="X73" i="4" s="1"/>
  <c r="J116" i="4"/>
  <c r="C20" i="5"/>
  <c r="D20" i="5"/>
  <c r="D10" i="5"/>
  <c r="D9" i="5"/>
  <c r="C5" i="5"/>
  <c r="T78" i="4"/>
  <c r="U60" i="4"/>
  <c r="W59" i="4"/>
  <c r="X59" i="4" s="1"/>
  <c r="AI37" i="4"/>
  <c r="F39" i="4"/>
  <c r="F38" i="4"/>
  <c r="AI36" i="4"/>
  <c r="AI33" i="4"/>
  <c r="AI19" i="4"/>
  <c r="P19" i="4" s="1"/>
  <c r="AI18" i="4"/>
  <c r="AI22" i="4"/>
  <c r="AI14" i="4"/>
  <c r="P116" i="4"/>
  <c r="W70" i="4"/>
  <c r="X70" i="4" s="1"/>
  <c r="E68" i="4"/>
  <c r="F68" i="4" s="1"/>
  <c r="W84" i="4"/>
  <c r="AI23" i="4"/>
  <c r="AI12" i="4"/>
  <c r="E71" i="4"/>
  <c r="F71" i="4" s="1"/>
  <c r="E116" i="4"/>
  <c r="W85" i="4"/>
  <c r="W86" i="4"/>
  <c r="W87" i="4"/>
  <c r="W88" i="4"/>
  <c r="W89" i="4"/>
  <c r="W90" i="4"/>
  <c r="W93" i="4"/>
  <c r="W94" i="4"/>
  <c r="W95" i="4"/>
  <c r="W97" i="4"/>
  <c r="X97" i="4" s="1"/>
  <c r="W105" i="4"/>
  <c r="W106" i="4"/>
  <c r="W109" i="4"/>
  <c r="W110" i="4"/>
  <c r="W111" i="4"/>
  <c r="W112" i="4"/>
  <c r="W113" i="4"/>
  <c r="W114" i="4"/>
  <c r="W115" i="4"/>
  <c r="H116" i="4"/>
  <c r="I116" i="4"/>
  <c r="M116" i="4"/>
  <c r="S116" i="4"/>
  <c r="B6" i="2"/>
  <c r="B7" i="2"/>
  <c r="B9" i="2"/>
  <c r="B10" i="2"/>
  <c r="B12" i="2"/>
  <c r="B13" i="2"/>
  <c r="B14" i="2"/>
  <c r="B16" i="2"/>
  <c r="T116" i="4"/>
  <c r="AA11" i="4"/>
  <c r="AI11" i="4"/>
  <c r="V60" i="4" l="1"/>
  <c r="V78" i="4" s="1"/>
  <c r="U78" i="4"/>
  <c r="AF51" i="4"/>
  <c r="AF52" i="4" s="1"/>
  <c r="AY53" i="4" s="1"/>
  <c r="AE55" i="4" s="1"/>
  <c r="W118" i="4" s="1"/>
  <c r="E20" i="5"/>
  <c r="E78" i="4"/>
  <c r="P78" i="4"/>
  <c r="F61" i="4"/>
  <c r="F78" i="4" s="1"/>
  <c r="D78" i="4"/>
  <c r="W62" i="4"/>
  <c r="X62" i="4" s="1"/>
  <c r="W128" i="4"/>
  <c r="W71" i="4"/>
  <c r="X71" i="4" s="1"/>
  <c r="W74" i="4"/>
  <c r="X74" i="4" s="1"/>
  <c r="W64" i="4"/>
  <c r="X64" i="4" s="1"/>
  <c r="L19" i="4"/>
  <c r="M9" i="4"/>
  <c r="L9" i="4"/>
  <c r="M19" i="4"/>
  <c r="X87" i="4"/>
  <c r="X106" i="4"/>
  <c r="W121" i="4"/>
  <c r="AI9" i="4"/>
  <c r="AI41" i="4" s="1"/>
  <c r="X94" i="4"/>
  <c r="X95" i="4"/>
  <c r="W57" i="4"/>
  <c r="X57" i="4" s="1"/>
  <c r="W72" i="4"/>
  <c r="X72" i="4" s="1"/>
  <c r="X112" i="4"/>
  <c r="X105" i="4"/>
  <c r="X88" i="4"/>
  <c r="W65" i="4"/>
  <c r="X65" i="4" s="1"/>
  <c r="F35" i="4"/>
  <c r="X110" i="4"/>
  <c r="X115" i="4"/>
  <c r="U116" i="4"/>
  <c r="X93" i="4"/>
  <c r="AA9" i="4"/>
  <c r="W58" i="4"/>
  <c r="X58" i="4" s="1"/>
  <c r="W68" i="4"/>
  <c r="X68" i="4" s="1"/>
  <c r="W63" i="4"/>
  <c r="X63" i="4" s="1"/>
  <c r="W75" i="4"/>
  <c r="X75" i="4" s="1"/>
  <c r="X111" i="4"/>
  <c r="X90" i="4"/>
  <c r="X89" i="4"/>
  <c r="W76" i="4"/>
  <c r="X76" i="4" s="1"/>
  <c r="X86" i="4"/>
  <c r="W56" i="4"/>
  <c r="F37" i="4"/>
  <c r="X113" i="4"/>
  <c r="X85" i="4"/>
  <c r="W67" i="4"/>
  <c r="X67" i="4" s="1"/>
  <c r="X109" i="4"/>
  <c r="X84" i="4"/>
  <c r="L41" i="4" l="1"/>
  <c r="W61" i="4"/>
  <c r="X61" i="4" s="1"/>
  <c r="X56" i="4"/>
  <c r="J19" i="4"/>
  <c r="V19" i="4" s="1"/>
  <c r="D41" i="4"/>
  <c r="E41" i="4"/>
  <c r="P9" i="4"/>
  <c r="P41" i="4" s="1"/>
  <c r="F33" i="4"/>
  <c r="W92" i="4"/>
  <c r="X92" i="4" s="1"/>
  <c r="W83" i="4"/>
  <c r="W60" i="4"/>
  <c r="X60" i="4" s="1"/>
  <c r="W66" i="4"/>
  <c r="X66" i="4" s="1"/>
  <c r="U53" i="4"/>
  <c r="U80" i="4" s="1"/>
  <c r="U117" i="4" s="1"/>
  <c r="J41" i="4" l="1"/>
  <c r="X83" i="4"/>
  <c r="X116" i="4" s="1"/>
  <c r="Z116" i="4" s="1"/>
  <c r="F41" i="4"/>
  <c r="M41" i="4"/>
  <c r="H41" i="4"/>
  <c r="E52" i="4"/>
  <c r="S41" i="4"/>
  <c r="I9" i="4"/>
  <c r="V9" i="4" s="1"/>
  <c r="K53" i="4"/>
  <c r="K80" i="4" s="1"/>
  <c r="K117" i="4" s="1"/>
  <c r="V41" i="4" l="1"/>
  <c r="I41" i="4"/>
  <c r="D52" i="4"/>
  <c r="F52" i="4" s="1"/>
  <c r="L53" i="4"/>
  <c r="L80" i="4" s="1"/>
  <c r="L117" i="4" s="1"/>
  <c r="Q53" i="4"/>
  <c r="Q80" i="4" s="1"/>
  <c r="O53" i="4"/>
  <c r="O80" i="4" s="1"/>
  <c r="O117" i="4" s="1"/>
  <c r="P53" i="4"/>
  <c r="P80" i="4" s="1"/>
  <c r="P117" i="4" s="1"/>
  <c r="E53" i="4"/>
  <c r="D53" i="4" l="1"/>
  <c r="F53" i="4"/>
  <c r="M53" i="4"/>
  <c r="M80" i="4" s="1"/>
  <c r="M117" i="4" s="1"/>
  <c r="Q116" i="4"/>
  <c r="Q117" i="4" s="1"/>
  <c r="S53" i="4"/>
  <c r="S80" i="4" s="1"/>
  <c r="S117" i="4" s="1"/>
  <c r="T53" i="4"/>
  <c r="T80" i="4" s="1"/>
  <c r="T117" i="4" s="1"/>
  <c r="T122" i="4" s="1"/>
  <c r="J53" i="4"/>
  <c r="J80" i="4" s="1"/>
  <c r="J117" i="4" s="1"/>
  <c r="W102" i="4" l="1"/>
  <c r="W116" i="4" s="1"/>
  <c r="H53" i="4"/>
  <c r="H80" i="4" s="1"/>
  <c r="H117" i="4" l="1"/>
  <c r="V53" i="4"/>
  <c r="I53" i="4"/>
  <c r="I80" i="4" s="1"/>
  <c r="I117" i="4" s="1"/>
  <c r="W53" i="4"/>
  <c r="V80" i="4" l="1"/>
  <c r="V117" i="4" s="1"/>
  <c r="V131" i="4" s="1"/>
  <c r="Z53" i="4" l="1"/>
  <c r="E80" i="4" l="1"/>
  <c r="E117" i="4" s="1"/>
  <c r="E122" i="4" s="1"/>
  <c r="W69" i="4"/>
  <c r="W78" i="4" s="1"/>
  <c r="X69" i="4" l="1"/>
  <c r="F80" i="4"/>
  <c r="F117" i="4" s="1"/>
  <c r="F122" i="4" s="1"/>
  <c r="E129" i="4"/>
  <c r="D80" i="4"/>
  <c r="D117" i="4" s="1"/>
  <c r="W80" i="4" l="1"/>
  <c r="W117" i="4" s="1"/>
  <c r="W119" i="4" s="1"/>
  <c r="X78" i="4"/>
  <c r="X80" i="4" s="1"/>
  <c r="Z80" i="4" s="1"/>
  <c r="F129" i="4"/>
  <c r="F131" i="4" s="1"/>
  <c r="W131" i="4" s="1"/>
  <c r="Z117" i="4" l="1"/>
  <c r="X119" i="4" l="1"/>
  <c r="AC58" i="4"/>
  <c r="AC59" i="4" s="1"/>
  <c r="W122" i="4"/>
  <c r="W1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 Seckel</author>
    <author>Rich</author>
    <author>Richard Seckel</author>
    <author>tc={F019A71F-BABD-471D-9FBA-E947300F539F}</author>
    <author>tc={943CAC2E-5869-47C6-9487-8C8DD63552AE}</author>
    <author>tc={DAB46EE5-3132-4CFD-8826-9947A1DB8417}</author>
    <author>tc={B41B906D-F5E0-4E73-BEDA-802219194F86}</author>
    <author>tc={E751EF45-9717-4ACF-97A4-4286AF7069D0}</author>
  </authors>
  <commentList>
    <comment ref="D5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Interpreters and assessments
</t>
        </r>
      </text>
    </comment>
    <comment ref="V5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development and strategic planning assistance at $3000 of $6000 BGCF grant.
</t>
        </r>
      </text>
    </comment>
    <comment ref="E5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UK Work Study plus cleaning
</t>
        </r>
      </text>
    </comment>
    <comment ref="D60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Richard Seckel:</t>
        </r>
        <r>
          <rPr>
            <sz val="9"/>
            <color indexed="81"/>
            <rFont val="Tahoma"/>
            <family val="2"/>
          </rPr>
          <t xml:space="preserve">
CLINIC and bar dues</t>
        </r>
      </text>
    </comment>
    <comment ref="E60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CLINIC, bar, AILA
</t>
        </r>
      </text>
    </comment>
    <comment ref="D6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allocation for new case management system</t>
        </r>
      </text>
    </comment>
    <comment ref="D6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new office desks and chairs
</t>
        </r>
      </text>
    </comment>
    <comment ref="D7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 kind
</t>
        </r>
      </text>
    </comment>
    <comment ref="M121" authorId="3" shapeId="0" xr:uid="{F019A71F-BABD-471D-9FBA-E947300F539F}">
      <text>
        <t>[Threaded comment]
Your version of Excel allows you to read this threaded comment; however, any edits to it will get removed if the file is opened in a newer version of Excel. Learn more: https://go.microsoft.com/fwlink/?linkid=870924
Comment:
    KCET Language Access</t>
      </text>
    </comment>
    <comment ref="R121" authorId="4" shapeId="0" xr:uid="{943CAC2E-5869-47C6-9487-8C8DD63552AE}">
      <text>
        <t>[Threaded comment]
Your version of Excel allows you to read this threaded comment; however, any edits to it will get removed if the file is opened in a newer version of Excel. Learn more: https://go.microsoft.com/fwlink/?linkid=870924
Comment:
    NLIHC OSAH</t>
      </text>
    </comment>
    <comment ref="S121" authorId="5" shapeId="0" xr:uid="{DAB46EE5-3132-4CFD-8826-9947A1DB8417}">
      <text>
        <t>[Threaded comment]
Your version of Excel allows you to read this threaded comment; however, any edits to it will get removed if the file is opened in a newer version of Excel. Learn more: https://go.microsoft.com/fwlink/?linkid=870924
Comment:
    Health Gains Communications</t>
      </text>
    </comment>
    <comment ref="T121" authorId="6" shapeId="0" xr:uid="{B41B906D-F5E0-4E73-BEDA-802219194F86}">
      <text>
        <t>[Threaded comment]
Your version of Excel allows you to read this threaded comment; however, any edits to it will get removed if the file is opened in a newer version of Excel. Learn more: https://go.microsoft.com/fwlink/?linkid=870924
Comment:
    MAZON, CBPP, EFA</t>
      </text>
    </comment>
    <comment ref="U121" authorId="7" shapeId="0" xr:uid="{E751EF45-9717-4ACF-97A4-4286AF7069D0}">
      <text>
        <t>[Threaded comment]
Your version of Excel allows you to read this threaded comment; however, any edits to it will get removed if the file is opened in a newer version of Excel. Learn more: https://go.microsoft.com/fwlink/?linkid=870924
Comment:
    FWF, Elhapa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 Seckel</author>
    <author>Rich</author>
    <author>Richard Seckel</author>
  </authors>
  <commentList>
    <comment ref="D56" authorId="0" shapeId="0" xr:uid="{424D77F8-6042-4E86-8875-10AC5D210607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Interpreters and assessments
</t>
        </r>
      </text>
    </comment>
    <comment ref="V56" authorId="1" shapeId="0" xr:uid="{32BBF1F7-3995-4D84-A990-7C5915B324CE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development and strategic planning assistance at $3000 of $6000 BGCF grant.
</t>
        </r>
      </text>
    </comment>
    <comment ref="E57" authorId="1" shapeId="0" xr:uid="{D11B386B-1069-46D5-A695-51F7A6CCCC2E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UK Work Study plus cleaning
</t>
        </r>
      </text>
    </comment>
    <comment ref="D59" authorId="2" shapeId="0" xr:uid="{908A9FE6-BCF6-4538-9C5E-B355A429B30C}">
      <text>
        <r>
          <rPr>
            <b/>
            <sz val="9"/>
            <color indexed="81"/>
            <rFont val="Tahoma"/>
            <family val="2"/>
          </rPr>
          <t>Richard Seckel:</t>
        </r>
        <r>
          <rPr>
            <sz val="9"/>
            <color indexed="81"/>
            <rFont val="Tahoma"/>
            <family val="2"/>
          </rPr>
          <t xml:space="preserve">
CLINIC and bar dues</t>
        </r>
      </text>
    </comment>
    <comment ref="E59" authorId="1" shapeId="0" xr:uid="{4D4F47F5-374E-44EC-A347-4CD152F0F1B1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CLINIC, bar, AILA
</t>
        </r>
      </text>
    </comment>
    <comment ref="D65" authorId="0" shapeId="0" xr:uid="{BF20581C-8CEF-44E7-A3CE-AC82451D3CE1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allocation for new case management system</t>
        </r>
      </text>
    </comment>
    <comment ref="D66" authorId="0" shapeId="0" xr:uid="{814EA6DE-6893-4C4C-A909-CA91C007F27C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new office desks and chairs
</t>
        </r>
      </text>
    </comment>
    <comment ref="D70" authorId="0" shapeId="0" xr:uid="{E8082742-46F8-4C8E-8BDF-F977397EC59B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 kind
</t>
        </r>
      </text>
    </comment>
  </commentList>
</comments>
</file>

<file path=xl/sharedStrings.xml><?xml version="1.0" encoding="utf-8"?>
<sst xmlns="http://schemas.openxmlformats.org/spreadsheetml/2006/main" count="877" uniqueCount="359">
  <si>
    <t>Workers Comp</t>
  </si>
  <si>
    <t>Unemployment</t>
  </si>
  <si>
    <t>Operating expense</t>
  </si>
  <si>
    <t>Equipment Rental</t>
  </si>
  <si>
    <t>Insurance</t>
  </si>
  <si>
    <t>Library</t>
  </si>
  <si>
    <t>Office Supplies</t>
  </si>
  <si>
    <t>Prof Tax Audit</t>
  </si>
  <si>
    <t>Rent</t>
  </si>
  <si>
    <t>Repairs</t>
  </si>
  <si>
    <t>Subtotal operating</t>
  </si>
  <si>
    <t>Total expense</t>
  </si>
  <si>
    <t>Projected income</t>
  </si>
  <si>
    <t>Program Contributions</t>
  </si>
  <si>
    <t>Total income</t>
  </si>
  <si>
    <t>Income over expense</t>
  </si>
  <si>
    <t>Expense</t>
  </si>
  <si>
    <t>Benefits</t>
  </si>
  <si>
    <t>Subtotal benefits</t>
  </si>
  <si>
    <t>MSLC</t>
  </si>
  <si>
    <t>Total</t>
  </si>
  <si>
    <t>CERS retirement</t>
  </si>
  <si>
    <t>Immigrant</t>
  </si>
  <si>
    <t>Rights</t>
  </si>
  <si>
    <t>Director</t>
  </si>
  <si>
    <t>KEJC</t>
  </si>
  <si>
    <t>for KEJC column</t>
  </si>
  <si>
    <t>General</t>
  </si>
  <si>
    <t>Printing and Copying</t>
  </si>
  <si>
    <t>Language Line</t>
  </si>
  <si>
    <t>KEJC Working Papers</t>
  </si>
  <si>
    <t>Miscellaneous</t>
  </si>
  <si>
    <t>Dues</t>
  </si>
  <si>
    <t>Interest Income</t>
  </si>
  <si>
    <t xml:space="preserve">Dental </t>
  </si>
  <si>
    <t xml:space="preserve">Health </t>
  </si>
  <si>
    <t xml:space="preserve">Life </t>
  </si>
  <si>
    <t>Disability</t>
  </si>
  <si>
    <t>Postage and Delivery</t>
  </si>
  <si>
    <t>Litigation Support</t>
  </si>
  <si>
    <t>Case Management</t>
  </si>
  <si>
    <t>Small Grants</t>
  </si>
  <si>
    <t>Client Fees</t>
  </si>
  <si>
    <t>Individual Donations</t>
  </si>
  <si>
    <t>Fundraising Events</t>
  </si>
  <si>
    <t>FCBF</t>
  </si>
  <si>
    <t>Catholic Diocese</t>
  </si>
  <si>
    <t>Task Force Sponsors</t>
  </si>
  <si>
    <t>Fundraising Goal</t>
  </si>
  <si>
    <t>Employ</t>
  </si>
  <si>
    <t>Law</t>
  </si>
  <si>
    <t>Health</t>
  </si>
  <si>
    <t>IMM</t>
  </si>
  <si>
    <t>Fundraising Goal Rounded</t>
  </si>
  <si>
    <t>Attorney</t>
  </si>
  <si>
    <t>Senior</t>
  </si>
  <si>
    <t>Law Fellow</t>
  </si>
  <si>
    <t>Foundation Healthy KY</t>
  </si>
  <si>
    <t>Ops</t>
  </si>
  <si>
    <t>Task Forces &amp; Meetings</t>
  </si>
  <si>
    <t>Difference</t>
  </si>
  <si>
    <t>BGCF</t>
  </si>
  <si>
    <t>Boots</t>
  </si>
  <si>
    <t>Foundation Boots</t>
  </si>
  <si>
    <t>Interact for Health</t>
  </si>
  <si>
    <t>Percent</t>
  </si>
  <si>
    <t>Salary</t>
  </si>
  <si>
    <t>Increase</t>
  </si>
  <si>
    <t>Attorney Fees</t>
  </si>
  <si>
    <t>on</t>
  </si>
  <si>
    <t>Anniv</t>
  </si>
  <si>
    <t>Two year average trended &amp; per grants</t>
  </si>
  <si>
    <t>Per task forces and grants</t>
  </si>
  <si>
    <t>As per MOA with programs</t>
  </si>
  <si>
    <t>Renewal</t>
  </si>
  <si>
    <t>As per recent gifts</t>
  </si>
  <si>
    <t>Eliminating low yield strategy</t>
  </si>
  <si>
    <t>Legal Assistant II</t>
  </si>
  <si>
    <t>Outreach Coordinator</t>
  </si>
  <si>
    <t>Actuals itemized and per grants</t>
  </si>
  <si>
    <t>Actuals trended and per grants</t>
  </si>
  <si>
    <t>201 W. Short Bundle</t>
  </si>
  <si>
    <t>Data backup</t>
  </si>
  <si>
    <t>MSLC Lex bundle</t>
  </si>
  <si>
    <t>Louis Bundle</t>
  </si>
  <si>
    <t>Ready Talk</t>
  </si>
  <si>
    <t>Quickbooks</t>
  </si>
  <si>
    <t>NFG</t>
  </si>
  <si>
    <t>Skype</t>
  </si>
  <si>
    <t>Telephone 2018</t>
  </si>
  <si>
    <t>Net</t>
  </si>
  <si>
    <t>New Grants General</t>
  </si>
  <si>
    <t>New Grants Safety Net</t>
  </si>
  <si>
    <t>Major Gift Exploration</t>
  </si>
  <si>
    <t>FICA rate</t>
  </si>
  <si>
    <t>Actuals as per grants, current bills rounded</t>
  </si>
  <si>
    <t>United Way of Bluegrass</t>
  </si>
  <si>
    <t>New initiative</t>
  </si>
  <si>
    <t>As per investment policy</t>
  </si>
  <si>
    <t>VOCA</t>
  </si>
  <si>
    <t>In-Kind Rent</t>
  </si>
  <si>
    <t>FICA 7.65%</t>
  </si>
  <si>
    <t>Senior Counsel</t>
  </si>
  <si>
    <t>Wix website</t>
  </si>
  <si>
    <t>Actuals trended over 2 years</t>
  </si>
  <si>
    <t>Actuals trended including giving days</t>
  </si>
  <si>
    <t>AILA and congregations</t>
  </si>
  <si>
    <t>Lowered risk</t>
  </si>
  <si>
    <t xml:space="preserve">Food </t>
  </si>
  <si>
    <t>Justice</t>
  </si>
  <si>
    <t>Food</t>
  </si>
  <si>
    <t>Travel and Training</t>
  </si>
  <si>
    <t>As per last three year audit bid</t>
  </si>
  <si>
    <t>Current rent December 2019</t>
  </si>
  <si>
    <t>As per grant budget, annualized</t>
  </si>
  <si>
    <t>As per 2019 levels</t>
  </si>
  <si>
    <t>Bar Grants KBF LBF</t>
  </si>
  <si>
    <t xml:space="preserve">Actuals trended </t>
  </si>
  <si>
    <t>Clearpath rate 0.19 per hundred</t>
  </si>
  <si>
    <t>Workstations, printers, scanners, phones</t>
  </si>
  <si>
    <t>No AmeriCorps, work study, cleaning</t>
  </si>
  <si>
    <t>Trended including board meeting cost</t>
  </si>
  <si>
    <t>Annual fees, training</t>
  </si>
  <si>
    <t>2020 grant amount</t>
  </si>
  <si>
    <t>Potential increase under new regional plan</t>
  </si>
  <si>
    <t>Two years trended</t>
  </si>
  <si>
    <t>Resource Organizer</t>
  </si>
  <si>
    <t>MAZON</t>
  </si>
  <si>
    <t>$1 per hour on anniversary</t>
  </si>
  <si>
    <t>Housing</t>
  </si>
  <si>
    <t>Kentucky Housing</t>
  </si>
  <si>
    <t>KCET</t>
  </si>
  <si>
    <t>Mason Fund</t>
  </si>
  <si>
    <t>1.0 % increase</t>
  </si>
  <si>
    <t>Scale plus supervision</t>
  </si>
  <si>
    <t>Scale</t>
  </si>
  <si>
    <t>KHC Housing Outreach Lead I</t>
  </si>
  <si>
    <t>Scale @ 32 hour week</t>
  </si>
  <si>
    <t>Scale @ starting rate for 7 months</t>
  </si>
  <si>
    <t>Resource</t>
  </si>
  <si>
    <t>Organizer</t>
  </si>
  <si>
    <t xml:space="preserve">Comms </t>
  </si>
  <si>
    <t>DEI 2023 rates based on plan choices</t>
  </si>
  <si>
    <t>Metlife 2023 rate</t>
  </si>
  <si>
    <t>UI 2022 and KEJC base rate</t>
  </si>
  <si>
    <t>Subgrants</t>
  </si>
  <si>
    <t>Consultants</t>
  </si>
  <si>
    <t>Comms</t>
  </si>
  <si>
    <t>Contract Accounting</t>
  </si>
  <si>
    <t>The Charity CFO</t>
  </si>
  <si>
    <t>Printers, postage meter as per vendor rates</t>
  </si>
  <si>
    <t>New category</t>
  </si>
  <si>
    <t xml:space="preserve">Two year average trended    </t>
  </si>
  <si>
    <t>Telecomm</t>
  </si>
  <si>
    <t>Vendor</t>
  </si>
  <si>
    <t>Type</t>
  </si>
  <si>
    <t>Internet</t>
  </si>
  <si>
    <t>Charter</t>
  </si>
  <si>
    <t>Nextiva</t>
  </si>
  <si>
    <t>Phone</t>
  </si>
  <si>
    <t>Action Network</t>
  </si>
  <si>
    <t>CRM</t>
  </si>
  <si>
    <t>Bloomerang</t>
  </si>
  <si>
    <t>Network for Good</t>
  </si>
  <si>
    <t>Six months</t>
  </si>
  <si>
    <t>QBO</t>
  </si>
  <si>
    <t>Accounting</t>
  </si>
  <si>
    <t>ADP</t>
  </si>
  <si>
    <t>Payroll</t>
  </si>
  <si>
    <t>Listserve</t>
  </si>
  <si>
    <t>Simplelists</t>
  </si>
  <si>
    <t>Storeitoffistie</t>
  </si>
  <si>
    <t>Video</t>
  </si>
  <si>
    <t>Zoom</t>
  </si>
  <si>
    <t xml:space="preserve">Video </t>
  </si>
  <si>
    <t>Dotster</t>
  </si>
  <si>
    <t>Web domain</t>
  </si>
  <si>
    <t>Wix</t>
  </si>
  <si>
    <t>Website</t>
  </si>
  <si>
    <t>Google Voice</t>
  </si>
  <si>
    <t>six months</t>
  </si>
  <si>
    <t xml:space="preserve">Loomly </t>
  </si>
  <si>
    <t>Social Media</t>
  </si>
  <si>
    <t>Phone Interpret</t>
  </si>
  <si>
    <t>Telecomm and CRM</t>
  </si>
  <si>
    <t>New phone system, language access</t>
  </si>
  <si>
    <t>Donor engagement events</t>
  </si>
  <si>
    <t>Vanguard</t>
  </si>
  <si>
    <t>Cy Pres</t>
  </si>
  <si>
    <t>Nonprofit relief</t>
  </si>
  <si>
    <t>RJDEI consultant, graphic design, MSLC scan</t>
  </si>
  <si>
    <t>Medicaid case fees likely in 2023</t>
  </si>
  <si>
    <t>Available 1-time unrestricted</t>
  </si>
  <si>
    <t>Renewal of CBPP food justice support</t>
  </si>
  <si>
    <t>Subtotal</t>
  </si>
  <si>
    <t>Went full time March 1</t>
  </si>
  <si>
    <t>KFAN Coordinator</t>
  </si>
  <si>
    <t>Scale @ 5 years</t>
  </si>
  <si>
    <t>Scale plus supervision starting August</t>
  </si>
  <si>
    <t>Health Justice Vital Strategies</t>
  </si>
  <si>
    <t>Health Vital</t>
  </si>
  <si>
    <t>Strategies</t>
  </si>
  <si>
    <t>Vital Strategies Outreach</t>
  </si>
  <si>
    <t>LFUCG Housing Attorney</t>
  </si>
  <si>
    <t>New position at 5 years starting September</t>
  </si>
  <si>
    <t>KHC</t>
  </si>
  <si>
    <t>LFUCG</t>
  </si>
  <si>
    <t>LFUCG Housing Attorney II</t>
  </si>
  <si>
    <t>Communications Director</t>
  </si>
  <si>
    <t>Scale for new position hiree</t>
  </si>
  <si>
    <t>Scale @ 5 years starting in August</t>
  </si>
  <si>
    <t>Scale @5 years plus supervision new position</t>
  </si>
  <si>
    <t>New hire first full pay period April 1-15</t>
  </si>
  <si>
    <t>Scale plus supervision @ 5 years</t>
  </si>
  <si>
    <t>Scale @ 8 years</t>
  </si>
  <si>
    <t>Scale @ 3 years</t>
  </si>
  <si>
    <t>Dental</t>
  </si>
  <si>
    <t>UI</t>
  </si>
  <si>
    <t>Life</t>
  </si>
  <si>
    <t>CERS 2022 &amp; 2023 rates prorated 25.065%</t>
  </si>
  <si>
    <t>Vital</t>
  </si>
  <si>
    <t>CFA Humana</t>
  </si>
  <si>
    <t>Vital Strategies Health</t>
  </si>
  <si>
    <t>Operations</t>
  </si>
  <si>
    <t>Indirect cost</t>
  </si>
  <si>
    <t>FRAC WIC</t>
  </si>
  <si>
    <t>Louisville Community Ministry</t>
  </si>
  <si>
    <t>COLA</t>
  </si>
  <si>
    <t>COLA plus</t>
  </si>
  <si>
    <t>Shred-it, Courtnet, interpretation</t>
  </si>
  <si>
    <t>Update</t>
  </si>
  <si>
    <t>KEJC with Maxwell Street Legal Clinic 2024</t>
  </si>
  <si>
    <t>-2024</t>
  </si>
  <si>
    <t>2024 Assumptions</t>
  </si>
  <si>
    <t>Health Justice Attorney</t>
  </si>
  <si>
    <t>LFUCG Outreach CB</t>
  </si>
  <si>
    <t xml:space="preserve">LFUCG Resources JB </t>
  </si>
  <si>
    <t>KHC Housing Justice Attorney</t>
  </si>
  <si>
    <t>VOCA Legal Assistant DOJ GD</t>
  </si>
  <si>
    <t>LFUCG Outreach LD</t>
  </si>
  <si>
    <t>Food Justice Organizer</t>
  </si>
  <si>
    <t>Immigration Attorney New AR</t>
  </si>
  <si>
    <t xml:space="preserve">Legal Assistant I  </t>
  </si>
  <si>
    <t>Health Coverage Specialist</t>
  </si>
  <si>
    <t>LFUCG Outreach AZ</t>
  </si>
  <si>
    <t>Operations Manager</t>
  </si>
  <si>
    <t>Rich Seckel</t>
  </si>
  <si>
    <t>Heather Darby</t>
  </si>
  <si>
    <t>Ben Carter</t>
  </si>
  <si>
    <t>Tyler Offerman</t>
  </si>
  <si>
    <t>Robin Kunkel</t>
  </si>
  <si>
    <t>Chloe Atwater</t>
  </si>
  <si>
    <t>Suraya Shalash</t>
  </si>
  <si>
    <t>Jane Connell Young</t>
  </si>
  <si>
    <t>Carmen Solis</t>
  </si>
  <si>
    <t>Miranda Brown</t>
  </si>
  <si>
    <t>Raaziq El-Amin</t>
  </si>
  <si>
    <t>Natalie Chambers</t>
  </si>
  <si>
    <t>Jackson Cooper</t>
  </si>
  <si>
    <t>Laura Harper Knight</t>
  </si>
  <si>
    <t>Bill Pauley</t>
  </si>
  <si>
    <t>Cory Dodds</t>
  </si>
  <si>
    <t>Jess Bowman</t>
  </si>
  <si>
    <t>Phoenix Berry</t>
  </si>
  <si>
    <t>Lakin Dillingham</t>
  </si>
  <si>
    <t>Andrea Zang</t>
  </si>
  <si>
    <t>Allison Hight</t>
  </si>
  <si>
    <t>Abigail Rundell</t>
  </si>
  <si>
    <t>Paola Schwartz</t>
  </si>
  <si>
    <t>Yoko Dionisio</t>
  </si>
  <si>
    <t>Gabriela Dawson</t>
  </si>
  <si>
    <t>Benji successor</t>
  </si>
  <si>
    <t>Katie Taylor?</t>
  </si>
  <si>
    <t>Plan</t>
  </si>
  <si>
    <t>CDHP</t>
  </si>
  <si>
    <t>Employer</t>
  </si>
  <si>
    <t>Waiver</t>
  </si>
  <si>
    <t>PPO</t>
  </si>
  <si>
    <t>CDHP Fam</t>
  </si>
  <si>
    <t>PPO Parent</t>
  </si>
  <si>
    <t>CDHP Couple</t>
  </si>
  <si>
    <t>CDHP Parent</t>
  </si>
  <si>
    <t xml:space="preserve">CDHP  </t>
  </si>
  <si>
    <t>n/a</t>
  </si>
  <si>
    <t>MetLife</t>
  </si>
  <si>
    <t>Basic</t>
  </si>
  <si>
    <t>LTD</t>
  </si>
  <si>
    <t>CERS</t>
  </si>
  <si>
    <t>ER</t>
  </si>
  <si>
    <t>Share</t>
  </si>
  <si>
    <t>Workers</t>
  </si>
  <si>
    <t>Comp</t>
  </si>
  <si>
    <t>FICA</t>
  </si>
  <si>
    <t>Annual</t>
  </si>
  <si>
    <t>Fringe</t>
  </si>
  <si>
    <t>before</t>
  </si>
  <si>
    <t>Benefit</t>
  </si>
  <si>
    <t>Metlife</t>
  </si>
  <si>
    <t>Contract Labor</t>
  </si>
  <si>
    <t>Metronet</t>
  </si>
  <si>
    <t>kynect</t>
  </si>
  <si>
    <t>NILC OSAH</t>
  </si>
  <si>
    <t>Projected carryover from 2023</t>
  </si>
  <si>
    <t xml:space="preserve">NLIHC OSAH </t>
  </si>
  <si>
    <t>Specialty Crop Block Grant</t>
  </si>
  <si>
    <t>Capital Additions - Equipment</t>
  </si>
  <si>
    <t>NLIHC</t>
  </si>
  <si>
    <t>Immigration Attorney PD AH</t>
  </si>
  <si>
    <t>Immigration Attorney New -BS</t>
  </si>
  <si>
    <t>VOCA Fellow I Attorney New KT</t>
  </si>
  <si>
    <t>VOCA Fellow II DOJ -MH</t>
  </si>
  <si>
    <t>LFUCG Hosing</t>
  </si>
  <si>
    <t>Adjusted Net</t>
  </si>
  <si>
    <t>Salaries and Fringes</t>
  </si>
  <si>
    <t>Subtotal Salary and Fringe</t>
  </si>
  <si>
    <t>New Scale Full Implementation</t>
  </si>
  <si>
    <t>NLIHC OSAH</t>
  </si>
  <si>
    <t>fringe rate</t>
  </si>
  <si>
    <t>MSLC fees to 20000</t>
  </si>
  <si>
    <t>AH to 10 months</t>
  </si>
  <si>
    <t>RJS to 4 days a week</t>
  </si>
  <si>
    <t>KEJC Fundraising Event</t>
  </si>
  <si>
    <t>Expenditures</t>
  </si>
  <si>
    <t>CERS adjustment</t>
  </si>
  <si>
    <t>Savings and Income</t>
  </si>
  <si>
    <t>Vanguard earnings</t>
  </si>
  <si>
    <t>Supervisor increments</t>
  </si>
  <si>
    <t>Before</t>
  </si>
  <si>
    <t>After</t>
  </si>
  <si>
    <t>~ Allison</t>
  </si>
  <si>
    <t>~ Katie</t>
  </si>
  <si>
    <t>~ Tyler</t>
  </si>
  <si>
    <t>~ Raaziq</t>
  </si>
  <si>
    <t>~ Gaby</t>
  </si>
  <si>
    <t>~ Chloe</t>
  </si>
  <si>
    <t>Small grants MSLC to 6000</t>
  </si>
  <si>
    <t>Tiered</t>
  </si>
  <si>
    <t>%</t>
  </si>
  <si>
    <t>Language Adjustments</t>
  </si>
  <si>
    <t>Miranda</t>
  </si>
  <si>
    <t>Suraya</t>
  </si>
  <si>
    <t>Gaby</t>
  </si>
  <si>
    <t>Yoko</t>
  </si>
  <si>
    <t>Paola</t>
  </si>
  <si>
    <t>Total to Scale</t>
  </si>
  <si>
    <t>Scale Adjust</t>
  </si>
  <si>
    <t xml:space="preserve">Adjusted </t>
  </si>
  <si>
    <t>Cash fringe</t>
  </si>
  <si>
    <t>Draft 2</t>
  </si>
  <si>
    <t>Elhapa</t>
  </si>
  <si>
    <t>Shopping List</t>
  </si>
  <si>
    <t>Increase new PD pay and overlap</t>
  </si>
  <si>
    <t>Restore Rich to 1.0 FTE</t>
  </si>
  <si>
    <t>Part Time LFUCG Intake ~</t>
  </si>
  <si>
    <t xml:space="preserve">Full Time LFUCG Intake </t>
  </si>
  <si>
    <t>Development Director</t>
  </si>
  <si>
    <t>?</t>
  </si>
  <si>
    <t>LFUCG Intake Assistant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</si>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</sst>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9C5700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54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6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4" fontId="0" fillId="0" borderId="0" xfId="0" applyNumberFormat="1"/>
    <xf numFmtId="4" fontId="10" fillId="0" borderId="0" xfId="0" applyNumberFormat="1" applyFont="1" applyProtection="1">
      <protection locked="0"/>
    </xf>
    <xf numFmtId="43" fontId="0" fillId="0" borderId="0" xfId="1" applyFont="1"/>
    <xf numFmtId="43" fontId="6" fillId="0" borderId="0" xfId="0" applyNumberFormat="1" applyFont="1" applyProtection="1">
      <protection locked="0"/>
    </xf>
    <xf numFmtId="43" fontId="0" fillId="0" borderId="0" xfId="1" applyFont="1" applyAlignment="1">
      <alignment horizontal="left"/>
    </xf>
    <xf numFmtId="39" fontId="0" fillId="0" borderId="0" xfId="1" applyNumberFormat="1" applyFont="1" applyAlignment="1"/>
    <xf numFmtId="0" fontId="10" fillId="0" borderId="0" xfId="0" applyFont="1" applyProtection="1">
      <protection locked="0"/>
    </xf>
    <xf numFmtId="4" fontId="6" fillId="0" borderId="0" xfId="1" applyNumberFormat="1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3" fontId="10" fillId="0" borderId="0" xfId="1" applyFont="1" applyFill="1" applyBorder="1" applyAlignme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7" fontId="3" fillId="0" borderId="0" xfId="0" applyNumberFormat="1" applyFont="1" applyAlignment="1" applyProtection="1">
      <alignment horizontal="right"/>
      <protection locked="0"/>
    </xf>
    <xf numFmtId="164" fontId="0" fillId="0" borderId="0" xfId="2" applyNumberFormat="1" applyFont="1"/>
    <xf numFmtId="4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Protection="1">
      <protection locked="0"/>
    </xf>
    <xf numFmtId="4" fontId="19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4" fontId="0" fillId="0" borderId="0" xfId="1" applyNumberFormat="1" applyFont="1" applyBorder="1"/>
    <xf numFmtId="4" fontId="22" fillId="0" borderId="0" xfId="0" applyNumberFormat="1" applyFont="1" applyProtection="1">
      <protection locked="0"/>
    </xf>
    <xf numFmtId="10" fontId="6" fillId="0" borderId="0" xfId="2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49" fontId="6" fillId="0" borderId="0" xfId="0" applyNumberFormat="1" applyFont="1"/>
    <xf numFmtId="0" fontId="6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4" fontId="6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20" fillId="0" borderId="1" xfId="0" applyNumberFormat="1" applyFont="1" applyBorder="1" applyProtection="1">
      <protection locked="0"/>
    </xf>
    <xf numFmtId="17" fontId="3" fillId="0" borderId="1" xfId="0" applyNumberFormat="1" applyFont="1" applyBorder="1" applyAlignment="1" applyProtection="1">
      <alignment horizontal="right"/>
      <protection locked="0"/>
    </xf>
    <xf numFmtId="4" fontId="6" fillId="0" borderId="1" xfId="1" applyNumberFormat="1" applyFont="1" applyFill="1" applyBorder="1" applyAlignment="1" applyProtection="1">
      <protection locked="0"/>
    </xf>
    <xf numFmtId="4" fontId="0" fillId="0" borderId="1" xfId="1" applyNumberFormat="1" applyFont="1" applyBorder="1"/>
    <xf numFmtId="4" fontId="8" fillId="0" borderId="1" xfId="0" applyNumberFormat="1" applyFont="1" applyBorder="1" applyProtection="1">
      <protection locked="0"/>
    </xf>
    <xf numFmtId="0" fontId="23" fillId="0" borderId="0" xfId="0" applyFont="1" applyProtection="1">
      <protection locked="0"/>
    </xf>
    <xf numFmtId="17" fontId="1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4" fontId="20" fillId="0" borderId="2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/>
    <xf numFmtId="0" fontId="3" fillId="0" borderId="0" xfId="0" applyFont="1"/>
    <xf numFmtId="4" fontId="6" fillId="0" borderId="3" xfId="0" applyNumberFormat="1" applyFont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7" fontId="3" fillId="2" borderId="1" xfId="0" applyNumberFormat="1" applyFont="1" applyFill="1" applyBorder="1" applyAlignment="1" applyProtection="1">
      <alignment horizontal="right"/>
      <protection locked="0"/>
    </xf>
    <xf numFmtId="4" fontId="6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9" fontId="6" fillId="0" borderId="0" xfId="2" applyFont="1" applyFill="1" applyBorder="1" applyAlignment="1" applyProtection="1">
      <alignment horizontal="left"/>
      <protection locked="0"/>
    </xf>
    <xf numFmtId="164" fontId="0" fillId="0" borderId="0" xfId="2" applyNumberFormat="1" applyFont="1" applyFill="1"/>
    <xf numFmtId="4" fontId="6" fillId="0" borderId="0" xfId="0" applyNumberFormat="1" applyFont="1"/>
    <xf numFmtId="164" fontId="17" fillId="0" borderId="0" xfId="2" applyNumberFormat="1" applyFont="1" applyFill="1"/>
    <xf numFmtId="0" fontId="3" fillId="0" borderId="2" xfId="0" applyFont="1" applyBorder="1" applyAlignment="1" applyProtection="1">
      <alignment horizontal="right"/>
      <protection locked="0"/>
    </xf>
    <xf numFmtId="17" fontId="3" fillId="0" borderId="2" xfId="0" applyNumberFormat="1" applyFont="1" applyBorder="1" applyAlignment="1" applyProtection="1">
      <alignment horizontal="right"/>
      <protection locked="0"/>
    </xf>
    <xf numFmtId="4" fontId="6" fillId="0" borderId="0" xfId="1" applyNumberFormat="1" applyFont="1" applyFill="1" applyBorder="1"/>
    <xf numFmtId="9" fontId="18" fillId="0" borderId="0" xfId="2" applyFont="1" applyFill="1"/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164" fontId="3" fillId="0" borderId="0" xfId="2" applyNumberFormat="1" applyFont="1" applyFill="1" applyBorder="1" applyAlignment="1" applyProtection="1">
      <alignment horizontal="left"/>
      <protection locked="0"/>
    </xf>
    <xf numFmtId="4" fontId="26" fillId="0" borderId="0" xfId="0" applyNumberFormat="1" applyFont="1" applyProtection="1">
      <protection locked="0"/>
    </xf>
    <xf numFmtId="4" fontId="23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4" fontId="26" fillId="0" borderId="2" xfId="0" applyNumberFormat="1" applyFont="1" applyBorder="1" applyProtection="1">
      <protection locked="0"/>
    </xf>
    <xf numFmtId="4" fontId="24" fillId="0" borderId="2" xfId="0" applyNumberFormat="1" applyFont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4" fontId="25" fillId="2" borderId="2" xfId="0" applyNumberFormat="1" applyFont="1" applyFill="1" applyBorder="1" applyProtection="1">
      <protection locked="0"/>
    </xf>
    <xf numFmtId="4" fontId="24" fillId="2" borderId="2" xfId="0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4" fontId="6" fillId="0" borderId="0" xfId="0" applyNumberFormat="1" applyFont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9" fontId="6" fillId="0" borderId="0" xfId="2" applyFont="1" applyProtection="1">
      <protection locked="0"/>
    </xf>
    <xf numFmtId="4" fontId="8" fillId="0" borderId="0" xfId="0" applyNumberFormat="1" applyFont="1" applyProtection="1">
      <protection locked="0"/>
    </xf>
    <xf numFmtId="6" fontId="3" fillId="0" borderId="0" xfId="0" applyNumberFormat="1" applyFont="1" applyAlignment="1">
      <alignment horizontal="right"/>
    </xf>
    <xf numFmtId="4" fontId="27" fillId="2" borderId="2" xfId="0" applyNumberFormat="1" applyFont="1" applyFill="1" applyBorder="1" applyProtection="1">
      <protection locked="0"/>
    </xf>
    <xf numFmtId="4" fontId="0" fillId="4" borderId="0" xfId="0" applyNumberFormat="1" applyFill="1"/>
    <xf numFmtId="0" fontId="6" fillId="5" borderId="0" xfId="0" applyFont="1" applyFill="1" applyProtection="1">
      <protection locked="0"/>
    </xf>
    <xf numFmtId="4" fontId="0" fillId="0" borderId="1" xfId="0" applyNumberFormat="1" applyBorder="1"/>
    <xf numFmtId="0" fontId="6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6" fillId="0" borderId="0" xfId="0" applyFont="1"/>
    <xf numFmtId="0" fontId="16" fillId="0" borderId="0" xfId="0" applyFont="1" applyProtection="1">
      <protection locked="0"/>
    </xf>
    <xf numFmtId="10" fontId="0" fillId="0" borderId="0" xfId="0" applyNumberFormat="1"/>
    <xf numFmtId="9" fontId="6" fillId="0" borderId="0" xfId="2" applyFont="1"/>
    <xf numFmtId="0" fontId="3" fillId="0" borderId="1" xfId="0" applyFont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2" fontId="0" fillId="0" borderId="1" xfId="0" applyNumberFormat="1" applyBorder="1"/>
    <xf numFmtId="0" fontId="3" fillId="5" borderId="2" xfId="0" applyFont="1" applyFill="1" applyBorder="1" applyAlignment="1" applyProtection="1">
      <alignment horizontal="right"/>
      <protection locked="0"/>
    </xf>
    <xf numFmtId="17" fontId="3" fillId="5" borderId="2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/>
    </xf>
    <xf numFmtId="17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6" fillId="7" borderId="0" xfId="0" applyFont="1" applyFill="1" applyProtection="1">
      <protection locked="0"/>
    </xf>
    <xf numFmtId="4" fontId="3" fillId="7" borderId="0" xfId="0" applyNumberFormat="1" applyFont="1" applyFill="1" applyProtection="1">
      <protection locked="0"/>
    </xf>
    <xf numFmtId="4" fontId="28" fillId="0" borderId="0" xfId="3" applyNumberFormat="1" applyFill="1" applyProtection="1">
      <protection locked="0"/>
    </xf>
    <xf numFmtId="4" fontId="0" fillId="0" borderId="0" xfId="1" applyNumberFormat="1" applyFont="1" applyFill="1" applyBorder="1"/>
    <xf numFmtId="4" fontId="6" fillId="2" borderId="1" xfId="0" applyNumberFormat="1" applyFont="1" applyFill="1" applyBorder="1" applyAlignment="1" applyProtection="1">
      <alignment horizontal="right"/>
      <protection locked="0"/>
    </xf>
    <xf numFmtId="9" fontId="6" fillId="0" borderId="1" xfId="2" applyFont="1" applyBorder="1" applyProtection="1">
      <protection locked="0"/>
    </xf>
    <xf numFmtId="164" fontId="0" fillId="0" borderId="0" xfId="0" applyNumberFormat="1"/>
    <xf numFmtId="4" fontId="6" fillId="0" borderId="2" xfId="0" applyNumberFormat="1" applyFont="1" applyBorder="1" applyAlignment="1" applyProtection="1">
      <alignment horizontal="right"/>
      <protection locked="0"/>
    </xf>
    <xf numFmtId="4" fontId="0" fillId="0" borderId="2" xfId="1" applyNumberFormat="1" applyFont="1" applyBorder="1"/>
    <xf numFmtId="4" fontId="19" fillId="0" borderId="2" xfId="0" applyNumberFormat="1" applyFont="1" applyBorder="1" applyProtection="1">
      <protection locked="0"/>
    </xf>
    <xf numFmtId="4" fontId="22" fillId="0" borderId="2" xfId="0" applyNumberFormat="1" applyFont="1" applyBorder="1" applyProtection="1">
      <protection locked="0"/>
    </xf>
    <xf numFmtId="4" fontId="26" fillId="0" borderId="1" xfId="0" applyNumberFormat="1" applyFont="1" applyBorder="1" applyProtection="1">
      <protection locked="0"/>
    </xf>
    <xf numFmtId="4" fontId="24" fillId="0" borderId="1" xfId="0" applyNumberFormat="1" applyFont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4" fontId="0" fillId="6" borderId="0" xfId="0" applyNumberFormat="1" applyFill="1"/>
    <xf numFmtId="4" fontId="6" fillId="6" borderId="0" xfId="0" applyNumberFormat="1" applyFont="1" applyFill="1"/>
    <xf numFmtId="4" fontId="8" fillId="0" borderId="2" xfId="0" applyNumberFormat="1" applyFont="1" applyBorder="1" applyProtection="1">
      <protection locked="0"/>
    </xf>
    <xf numFmtId="9" fontId="6" fillId="0" borderId="0" xfId="2" applyFont="1" applyBorder="1"/>
    <xf numFmtId="164" fontId="0" fillId="0" borderId="0" xfId="2" applyNumberFormat="1" applyFont="1" applyBorder="1"/>
    <xf numFmtId="4" fontId="1" fillId="0" borderId="0" xfId="0" applyNumberFormat="1" applyFont="1"/>
    <xf numFmtId="4" fontId="28" fillId="0" borderId="0" xfId="3" applyNumberFormat="1" applyFill="1" applyBorder="1" applyProtection="1">
      <protection locked="0"/>
    </xf>
    <xf numFmtId="4" fontId="6" fillId="0" borderId="2" xfId="1" applyNumberFormat="1" applyFont="1" applyFill="1" applyBorder="1"/>
    <xf numFmtId="4" fontId="6" fillId="7" borderId="2" xfId="0" applyNumberFormat="1" applyFont="1" applyFill="1" applyBorder="1" applyProtection="1">
      <protection locked="0"/>
    </xf>
    <xf numFmtId="4" fontId="29" fillId="0" borderId="2" xfId="0" applyNumberFormat="1" applyFont="1" applyBorder="1" applyProtection="1">
      <protection locked="0"/>
    </xf>
    <xf numFmtId="4" fontId="29" fillId="2" borderId="2" xfId="0" applyNumberFormat="1" applyFont="1" applyFill="1" applyBorder="1" applyProtection="1">
      <protection locked="0"/>
    </xf>
    <xf numFmtId="0" fontId="1" fillId="0" borderId="0" xfId="0" applyFont="1"/>
    <xf numFmtId="4" fontId="22" fillId="7" borderId="2" xfId="0" applyNumberFormat="1" applyFont="1" applyFill="1" applyBorder="1" applyProtection="1">
      <protection locked="0"/>
    </xf>
    <xf numFmtId="164" fontId="6" fillId="0" borderId="0" xfId="2" applyNumberFormat="1" applyFont="1"/>
    <xf numFmtId="4" fontId="1" fillId="0" borderId="0" xfId="0" applyNumberFormat="1" applyFont="1" applyProtection="1">
      <protection locked="0"/>
    </xf>
    <xf numFmtId="10" fontId="27" fillId="0" borderId="0" xfId="2" applyNumberFormat="1" applyFont="1" applyProtection="1">
      <protection locked="0"/>
    </xf>
    <xf numFmtId="4" fontId="0" fillId="7" borderId="0" xfId="0" applyNumberFormat="1" applyFill="1"/>
    <xf numFmtId="164" fontId="1" fillId="0" borderId="0" xfId="2" applyNumberFormat="1" applyFont="1"/>
    <xf numFmtId="4" fontId="25" fillId="2" borderId="4" xfId="0" applyNumberFormat="1" applyFont="1" applyFill="1" applyBorder="1" applyProtection="1">
      <protection locked="0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hard Seckel" id="{A77F1A68-428F-4EDB-85A0-F746C240A392}" userId="7bac13c19ab01ccf" providerId="Windows Liv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21" dT="2023-12-11T01:28:22.70" personId="{A77F1A68-428F-4EDB-85A0-F746C240A392}" id="{F019A71F-BABD-471D-9FBA-E947300F539F}">
    <text>KCET Language Access</text>
  </threadedComment>
  <threadedComment ref="R121" dT="2023-12-11T01:35:38.87" personId="{A77F1A68-428F-4EDB-85A0-F746C240A392}" id="{943CAC2E-5869-47C6-9487-8C8DD63552AE}">
    <text>NLIHC OSAH</text>
  </threadedComment>
  <threadedComment ref="S121" dT="2023-12-11T01:27:05.54" personId="{A77F1A68-428F-4EDB-85A0-F746C240A392}" id="{DAB46EE5-3132-4CFD-8826-9947A1DB8417}">
    <text>Health Gains Communications</text>
  </threadedComment>
  <threadedComment ref="T121" dT="2023-12-11T01:22:25.07" personId="{A77F1A68-428F-4EDB-85A0-F746C240A392}" id="{B41B906D-F5E0-4E73-BEDA-802219194F86}">
    <text>MAZON, CBPP, EFA</text>
  </threadedComment>
  <threadedComment ref="U121" dT="2023-12-11T01:22:38.81" personId="{A77F1A68-428F-4EDB-85A0-F746C240A392}" id="{E751EF45-9717-4ACF-97A4-4286AF7069D0}">
    <text>FWF, Elhapa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workbookViewId="0">
      <selection activeCell="B16" sqref="B16"/>
    </sheetView>
  </sheetViews>
  <sheetFormatPr defaultColWidth="10" defaultRowHeight="12.75" x14ac:dyDescent="0.2"/>
  <cols>
    <col min="1" max="1" width="20" style="2" customWidth="1"/>
    <col min="2" max="2" width="12" style="2" customWidth="1"/>
    <col min="3" max="4" width="13" style="2" customWidth="1"/>
    <col min="5" max="5" width="11.42578125" style="2" customWidth="1"/>
    <col min="6" max="6" width="3" style="2" customWidth="1"/>
    <col min="7" max="7" width="12" style="2" customWidth="1"/>
    <col min="8" max="8" width="9" style="2" customWidth="1"/>
    <col min="9" max="9" width="9.140625" customWidth="1"/>
    <col min="10" max="16384" width="10" style="2"/>
  </cols>
  <sheetData>
    <row r="1" spans="1:7" ht="18" x14ac:dyDescent="0.25">
      <c r="A1" s="23" t="s">
        <v>30</v>
      </c>
      <c r="B1" s="4"/>
      <c r="C1" s="4"/>
      <c r="D1" s="4"/>
      <c r="E1" s="4"/>
      <c r="G1" s="5"/>
    </row>
    <row r="2" spans="1:7" x14ac:dyDescent="0.2">
      <c r="A2" s="9" t="s">
        <v>26</v>
      </c>
      <c r="B2" s="4"/>
      <c r="C2" s="4"/>
      <c r="D2" s="4"/>
      <c r="E2" s="4"/>
      <c r="G2" s="4"/>
    </row>
    <row r="3" spans="1:7" x14ac:dyDescent="0.2">
      <c r="A3" s="9"/>
      <c r="B3" s="4"/>
      <c r="C3" s="4"/>
      <c r="D3" s="4"/>
      <c r="E3" s="4"/>
      <c r="G3" s="4"/>
    </row>
    <row r="4" spans="1:7" x14ac:dyDescent="0.2">
      <c r="A4" s="21"/>
      <c r="B4" s="16"/>
      <c r="C4" s="26"/>
      <c r="D4" s="26"/>
      <c r="E4" s="26"/>
      <c r="F4" s="25"/>
      <c r="G4" s="21"/>
    </row>
    <row r="5" spans="1:7" x14ac:dyDescent="0.2">
      <c r="A5" s="1" t="s">
        <v>89</v>
      </c>
      <c r="B5" s="27" t="s">
        <v>16</v>
      </c>
      <c r="C5" s="26"/>
      <c r="D5" s="26"/>
      <c r="E5" s="26"/>
      <c r="F5" s="25"/>
      <c r="G5" s="21"/>
    </row>
    <row r="6" spans="1:7" x14ac:dyDescent="0.2">
      <c r="A6" s="4" t="s">
        <v>81</v>
      </c>
      <c r="B6" s="16">
        <f>218*12</f>
        <v>2616</v>
      </c>
      <c r="C6" s="26"/>
      <c r="D6" s="26"/>
      <c r="E6" s="26"/>
      <c r="F6" s="25"/>
      <c r="G6" s="21"/>
    </row>
    <row r="7" spans="1:7" x14ac:dyDescent="0.2">
      <c r="A7" s="4" t="s">
        <v>82</v>
      </c>
      <c r="B7" s="16">
        <f>53*12</f>
        <v>636</v>
      </c>
      <c r="C7" s="26"/>
      <c r="D7" s="26"/>
      <c r="E7" s="26"/>
      <c r="F7" s="25"/>
      <c r="G7" s="21"/>
    </row>
    <row r="8" spans="1:7" x14ac:dyDescent="0.2">
      <c r="A8" s="4" t="s">
        <v>103</v>
      </c>
      <c r="B8" s="16">
        <v>600</v>
      </c>
      <c r="C8" s="26"/>
      <c r="D8" s="26"/>
      <c r="E8" s="26"/>
      <c r="F8" s="25"/>
      <c r="G8" s="21"/>
    </row>
    <row r="9" spans="1:7" x14ac:dyDescent="0.2">
      <c r="A9" s="4" t="s">
        <v>83</v>
      </c>
      <c r="B9" s="16">
        <f>(269.96+0.04)*12</f>
        <v>3240</v>
      </c>
      <c r="C9" s="16"/>
      <c r="D9" s="16"/>
      <c r="E9" s="16"/>
      <c r="F9" s="25"/>
      <c r="G9" s="21"/>
    </row>
    <row r="10" spans="1:7" x14ac:dyDescent="0.2">
      <c r="A10" s="4" t="s">
        <v>84</v>
      </c>
      <c r="B10" s="16">
        <f>(144.08+0.92)*12</f>
        <v>1740</v>
      </c>
      <c r="C10" s="16"/>
      <c r="D10" s="16"/>
      <c r="E10" s="16"/>
      <c r="F10" s="25"/>
      <c r="G10" s="21"/>
    </row>
    <row r="11" spans="1:7" x14ac:dyDescent="0.2">
      <c r="A11" s="4" t="s">
        <v>85</v>
      </c>
      <c r="B11" s="16">
        <v>768</v>
      </c>
      <c r="C11" s="16"/>
      <c r="D11" s="16"/>
      <c r="E11" s="16"/>
      <c r="F11" s="25"/>
      <c r="G11" s="21"/>
    </row>
    <row r="12" spans="1:7" x14ac:dyDescent="0.2">
      <c r="A12" s="4" t="s">
        <v>29</v>
      </c>
      <c r="B12" s="7">
        <f>320*12</f>
        <v>3840</v>
      </c>
      <c r="C12" s="7"/>
      <c r="D12" s="7"/>
      <c r="E12" s="7"/>
      <c r="G12" s="21"/>
    </row>
    <row r="13" spans="1:7" x14ac:dyDescent="0.2">
      <c r="A13" s="4" t="s">
        <v>86</v>
      </c>
      <c r="B13" s="16">
        <f>(131.2+15)*12</f>
        <v>1754.3999999999999</v>
      </c>
      <c r="C13" s="7"/>
      <c r="D13" s="7"/>
      <c r="E13" s="7"/>
      <c r="G13" s="21"/>
    </row>
    <row r="14" spans="1:7" x14ac:dyDescent="0.2">
      <c r="A14" s="4" t="s">
        <v>87</v>
      </c>
      <c r="B14" s="7">
        <f>119*12</f>
        <v>1428</v>
      </c>
      <c r="C14" s="7"/>
      <c r="D14" s="7"/>
      <c r="E14" s="7"/>
      <c r="G14" s="21"/>
    </row>
    <row r="15" spans="1:7" x14ac:dyDescent="0.2">
      <c r="A15" s="4" t="s">
        <v>88</v>
      </c>
      <c r="B15" s="7">
        <v>120</v>
      </c>
      <c r="C15" s="7"/>
      <c r="D15" s="7"/>
      <c r="E15" s="7"/>
      <c r="G15" s="21"/>
    </row>
    <row r="16" spans="1:7" x14ac:dyDescent="0.2">
      <c r="A16" s="4"/>
      <c r="B16" s="7">
        <f>SUM(B6:B14)</f>
        <v>16622.400000000001</v>
      </c>
      <c r="C16" s="7"/>
      <c r="D16" s="7"/>
      <c r="E16" s="7"/>
      <c r="G16" s="12"/>
    </row>
    <row r="17" spans="1:7" x14ac:dyDescent="0.2">
      <c r="A17" s="4"/>
      <c r="B17" s="7"/>
      <c r="C17" s="7"/>
      <c r="D17" s="7"/>
      <c r="E17" s="7"/>
      <c r="G17" s="12"/>
    </row>
    <row r="18" spans="1:7" x14ac:dyDescent="0.2">
      <c r="A18" s="9"/>
      <c r="B18" s="7"/>
      <c r="C18" s="7"/>
      <c r="D18" s="7"/>
      <c r="E18" s="7"/>
      <c r="G18" s="13"/>
    </row>
    <row r="19" spans="1:7" x14ac:dyDescent="0.2">
      <c r="A19" s="21"/>
      <c r="B19" s="7"/>
      <c r="C19" s="7"/>
      <c r="D19" s="7"/>
      <c r="E19" s="7"/>
      <c r="G19" s="13"/>
    </row>
    <row r="20" spans="1:7" x14ac:dyDescent="0.2">
      <c r="A20" s="21"/>
      <c r="B20" s="7"/>
      <c r="C20" s="7"/>
      <c r="D20" s="7"/>
      <c r="E20" s="7"/>
      <c r="G20" s="24"/>
    </row>
    <row r="21" spans="1:7" x14ac:dyDescent="0.2">
      <c r="A21" s="21"/>
      <c r="B21" s="7"/>
      <c r="C21" s="7"/>
      <c r="D21" s="7"/>
      <c r="E21" s="7"/>
      <c r="G21" s="24"/>
    </row>
    <row r="22" spans="1:7" x14ac:dyDescent="0.2">
      <c r="A22" s="9"/>
      <c r="B22" s="7"/>
      <c r="C22" s="7"/>
      <c r="D22" s="7"/>
      <c r="E22" s="7"/>
      <c r="G22" s="12"/>
    </row>
    <row r="23" spans="1:7" x14ac:dyDescent="0.2">
      <c r="A23" s="4"/>
      <c r="B23" s="7"/>
      <c r="C23" s="7"/>
      <c r="D23" s="7"/>
      <c r="E23" s="7"/>
      <c r="G23" s="4"/>
    </row>
    <row r="24" spans="1:7" x14ac:dyDescent="0.2">
      <c r="A24" s="1"/>
      <c r="B24" s="7"/>
      <c r="C24" s="7"/>
      <c r="D24" s="7"/>
      <c r="E24" s="7"/>
      <c r="G24" s="4"/>
    </row>
    <row r="25" spans="1:7" x14ac:dyDescent="0.2">
      <c r="A25" s="4"/>
      <c r="B25" s="7"/>
      <c r="C25" s="7"/>
      <c r="D25" s="7"/>
      <c r="E25" s="7"/>
      <c r="G25" s="4"/>
    </row>
    <row r="26" spans="1:7" x14ac:dyDescent="0.2">
      <c r="A26" s="1"/>
      <c r="B26" s="7"/>
      <c r="C26" s="7"/>
      <c r="D26" s="7"/>
      <c r="E26" s="7"/>
      <c r="G26" s="4"/>
    </row>
    <row r="27" spans="1:7" x14ac:dyDescent="0.2">
      <c r="A27" s="4"/>
      <c r="B27" s="7"/>
      <c r="C27" s="7"/>
      <c r="D27" s="7"/>
      <c r="E27" s="7"/>
      <c r="G27" s="4"/>
    </row>
    <row r="28" spans="1:7" x14ac:dyDescent="0.2">
      <c r="A28" s="4"/>
      <c r="B28" s="7"/>
      <c r="C28" s="7"/>
      <c r="D28" s="7"/>
      <c r="E28" s="7"/>
      <c r="G28" s="12"/>
    </row>
    <row r="29" spans="1:7" x14ac:dyDescent="0.2">
      <c r="A29" s="4"/>
      <c r="B29" s="7"/>
      <c r="C29" s="7"/>
      <c r="D29" s="7"/>
      <c r="E29" s="7"/>
      <c r="G29" s="12"/>
    </row>
    <row r="30" spans="1:7" x14ac:dyDescent="0.2">
      <c r="A30" s="12"/>
      <c r="B30" s="7"/>
      <c r="C30" s="7"/>
      <c r="D30" s="7"/>
      <c r="E30" s="7"/>
      <c r="G30" s="4"/>
    </row>
    <row r="31" spans="1:7" x14ac:dyDescent="0.2">
      <c r="A31" s="4"/>
      <c r="B31" s="7"/>
      <c r="C31" s="7"/>
      <c r="D31" s="7"/>
      <c r="E31" s="7"/>
      <c r="G31" s="4"/>
    </row>
    <row r="32" spans="1:7" x14ac:dyDescent="0.2">
      <c r="A32" s="4"/>
      <c r="B32" s="7"/>
      <c r="C32" s="7"/>
      <c r="D32" s="7"/>
      <c r="E32" s="7"/>
      <c r="G32" s="12"/>
    </row>
    <row r="33" spans="1:7" x14ac:dyDescent="0.2">
      <c r="A33" s="4"/>
      <c r="B33" s="7"/>
      <c r="C33" s="7"/>
      <c r="D33" s="7"/>
      <c r="E33" s="7"/>
      <c r="G33" s="4"/>
    </row>
    <row r="34" spans="1:7" x14ac:dyDescent="0.2">
      <c r="A34" s="4"/>
      <c r="B34" s="7"/>
      <c r="C34" s="7"/>
      <c r="D34" s="7"/>
      <c r="E34" s="7"/>
      <c r="G34" s="4"/>
    </row>
    <row r="35" spans="1:7" x14ac:dyDescent="0.2">
      <c r="A35" s="4"/>
      <c r="B35" s="7"/>
      <c r="C35" s="7"/>
      <c r="D35" s="7"/>
      <c r="E35" s="7"/>
      <c r="G35" s="12"/>
    </row>
    <row r="36" spans="1:7" x14ac:dyDescent="0.2">
      <c r="A36" s="4"/>
      <c r="B36" s="7"/>
      <c r="C36" s="7"/>
      <c r="D36" s="7"/>
      <c r="E36" s="7"/>
      <c r="G36" s="12"/>
    </row>
    <row r="37" spans="1:7" x14ac:dyDescent="0.2">
      <c r="A37" s="4"/>
      <c r="B37" s="7"/>
      <c r="C37" s="7"/>
      <c r="D37" s="7"/>
      <c r="E37" s="7"/>
      <c r="G37" s="4"/>
    </row>
    <row r="38" spans="1:7" x14ac:dyDescent="0.2">
      <c r="A38" s="4"/>
      <c r="B38" s="7"/>
      <c r="C38" s="7"/>
      <c r="D38" s="7"/>
      <c r="E38" s="7"/>
      <c r="G38" s="12"/>
    </row>
    <row r="39" spans="1:7" x14ac:dyDescent="0.2">
      <c r="A39" s="4"/>
      <c r="B39" s="7"/>
      <c r="C39" s="7"/>
      <c r="D39" s="7"/>
      <c r="E39" s="7"/>
      <c r="G39" s="4"/>
    </row>
    <row r="40" spans="1:7" x14ac:dyDescent="0.2">
      <c r="A40" s="4"/>
      <c r="B40" s="7"/>
      <c r="C40" s="7"/>
      <c r="D40" s="7"/>
      <c r="E40" s="7"/>
      <c r="G40" s="4"/>
    </row>
    <row r="41" spans="1:7" x14ac:dyDescent="0.2">
      <c r="A41" s="4"/>
      <c r="B41" s="7"/>
      <c r="C41" s="7"/>
      <c r="D41" s="7"/>
      <c r="E41" s="7"/>
      <c r="G41" s="4"/>
    </row>
    <row r="42" spans="1:7" x14ac:dyDescent="0.2">
      <c r="A42" s="12"/>
      <c r="B42" s="7"/>
      <c r="C42" s="7"/>
      <c r="D42" s="7"/>
      <c r="E42" s="7"/>
      <c r="G42" s="12"/>
    </row>
    <row r="43" spans="1:7" x14ac:dyDescent="0.2">
      <c r="A43" s="4"/>
      <c r="B43" s="7"/>
      <c r="C43" s="7"/>
      <c r="D43" s="7"/>
      <c r="E43" s="7"/>
      <c r="G43" s="12"/>
    </row>
    <row r="44" spans="1:7" x14ac:dyDescent="0.2">
      <c r="A44" s="4"/>
      <c r="B44" s="7"/>
      <c r="C44" s="7"/>
      <c r="D44" s="7"/>
      <c r="E44" s="7"/>
      <c r="G44" s="4"/>
    </row>
    <row r="45" spans="1:7" x14ac:dyDescent="0.2">
      <c r="A45" s="1"/>
      <c r="B45" s="7"/>
      <c r="C45" s="7"/>
      <c r="D45" s="7"/>
      <c r="E45" s="7"/>
      <c r="G45" s="4"/>
    </row>
    <row r="46" spans="1:7" x14ac:dyDescent="0.2">
      <c r="A46" s="1"/>
      <c r="B46" s="8"/>
      <c r="C46" s="8"/>
      <c r="D46" s="8"/>
      <c r="E46" s="8"/>
      <c r="G46" s="4"/>
    </row>
    <row r="47" spans="1:7" x14ac:dyDescent="0.2">
      <c r="A47" s="4"/>
      <c r="B47" s="4"/>
      <c r="C47" s="4"/>
      <c r="D47" s="4"/>
      <c r="E47" s="4"/>
      <c r="G47" s="4"/>
    </row>
    <row r="48" spans="1:7" x14ac:dyDescent="0.2">
      <c r="A48" s="1"/>
      <c r="B48" s="4"/>
      <c r="C48" s="4"/>
      <c r="D48" s="4"/>
      <c r="E48" s="4"/>
      <c r="G48" s="4"/>
    </row>
    <row r="49" spans="1:7" x14ac:dyDescent="0.2">
      <c r="A49" s="4"/>
      <c r="B49" s="7"/>
      <c r="C49" s="7"/>
      <c r="D49" s="7"/>
      <c r="E49" s="7"/>
      <c r="G49" s="12"/>
    </row>
    <row r="50" spans="1:7" x14ac:dyDescent="0.2">
      <c r="A50" s="4"/>
      <c r="B50" s="7"/>
      <c r="C50" s="7"/>
      <c r="D50" s="7"/>
      <c r="E50" s="7"/>
      <c r="G50" s="4"/>
    </row>
    <row r="51" spans="1:7" x14ac:dyDescent="0.2">
      <c r="A51" s="4"/>
      <c r="B51" s="7"/>
      <c r="C51" s="7"/>
      <c r="D51" s="7"/>
      <c r="E51" s="7"/>
      <c r="G51" s="4"/>
    </row>
    <row r="52" spans="1:7" x14ac:dyDescent="0.2">
      <c r="A52" s="4"/>
      <c r="B52" s="7"/>
      <c r="C52" s="7"/>
      <c r="D52" s="7"/>
      <c r="E52" s="7"/>
      <c r="G52" s="12"/>
    </row>
    <row r="53" spans="1:7" x14ac:dyDescent="0.2">
      <c r="A53" s="4"/>
      <c r="B53" s="7"/>
      <c r="C53" s="7"/>
      <c r="D53" s="7"/>
      <c r="E53" s="7"/>
      <c r="G53" s="12"/>
    </row>
    <row r="54" spans="1:7" x14ac:dyDescent="0.2">
      <c r="A54" s="4"/>
      <c r="B54" s="7"/>
      <c r="C54" s="7"/>
      <c r="D54" s="7"/>
      <c r="E54" s="7"/>
      <c r="G54" s="4"/>
    </row>
    <row r="55" spans="1:7" x14ac:dyDescent="0.2">
      <c r="A55" s="14"/>
      <c r="B55" s="7"/>
      <c r="C55" s="7"/>
      <c r="D55" s="7"/>
      <c r="E55" s="7"/>
      <c r="G55" s="14"/>
    </row>
    <row r="56" spans="1:7" x14ac:dyDescent="0.2">
      <c r="A56" s="14"/>
      <c r="B56" s="7"/>
      <c r="C56" s="7"/>
      <c r="D56" s="7"/>
      <c r="E56" s="7"/>
      <c r="G56" s="14"/>
    </row>
    <row r="57" spans="1:7" x14ac:dyDescent="0.2">
      <c r="A57" s="14"/>
      <c r="B57" s="7"/>
      <c r="C57" s="7"/>
      <c r="D57" s="7"/>
      <c r="E57" s="7"/>
      <c r="G57" s="14"/>
    </row>
    <row r="58" spans="1:7" x14ac:dyDescent="0.2">
      <c r="A58" s="4"/>
      <c r="B58" s="7"/>
      <c r="C58" s="7"/>
      <c r="D58" s="7"/>
      <c r="E58" s="7"/>
      <c r="G58" s="12"/>
    </row>
    <row r="59" spans="1:7" x14ac:dyDescent="0.2">
      <c r="A59" s="1"/>
      <c r="B59" s="7"/>
      <c r="C59" s="7"/>
      <c r="D59" s="7"/>
      <c r="E59" s="7"/>
      <c r="G59" s="4"/>
    </row>
    <row r="60" spans="1:7" x14ac:dyDescent="0.2">
      <c r="A60" s="1"/>
      <c r="B60" s="8"/>
      <c r="C60" s="8"/>
      <c r="D60" s="8"/>
      <c r="E60" s="8"/>
      <c r="G60" s="4"/>
    </row>
    <row r="61" spans="1:7" x14ac:dyDescent="0.2">
      <c r="A61" s="1"/>
      <c r="B61" s="8"/>
      <c r="C61" s="8"/>
      <c r="D61" s="8"/>
      <c r="E61" s="8"/>
      <c r="G61" s="4"/>
    </row>
    <row r="62" spans="1:7" x14ac:dyDescent="0.2">
      <c r="A62" s="9"/>
      <c r="B62" s="8"/>
      <c r="C62" s="16"/>
      <c r="D62" s="20"/>
      <c r="E62" s="18"/>
      <c r="G62" s="4"/>
    </row>
    <row r="63" spans="1:7" x14ac:dyDescent="0.2">
      <c r="A63" s="11"/>
      <c r="B63" s="4"/>
      <c r="C63" s="15"/>
      <c r="D63" s="19"/>
      <c r="E63" s="18"/>
    </row>
    <row r="64" spans="1:7" x14ac:dyDescent="0.2">
      <c r="A64" s="9"/>
      <c r="B64" s="4"/>
      <c r="C64" s="7"/>
      <c r="D64" s="7"/>
      <c r="E64" s="7"/>
      <c r="G64" s="4"/>
    </row>
    <row r="65" spans="1:7" x14ac:dyDescent="0.2">
      <c r="A65" s="9"/>
      <c r="B65" s="4"/>
      <c r="C65" s="7"/>
      <c r="D65" s="17"/>
      <c r="E65" s="18"/>
      <c r="G65" s="4"/>
    </row>
  </sheetData>
  <phoneticPr fontId="5" type="noConversion"/>
  <pageMargins left="0.39305555555555555" right="0.39305555555555555" top="0.78680555555555554" bottom="0.78680555555555554" header="0.5" footer="0.75"/>
  <pageSetup orientation="portrait" r:id="rId1"/>
  <headerFooter alignWithMargins="0"/>
  <rowBreaks count="1" manualBreakCount="1">
    <brk id="6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66"/>
  <sheetViews>
    <sheetView tabSelected="1" topLeftCell="F1" zoomScaleNormal="100" workbookViewId="0">
      <selection activeCell="O30" sqref="O30"/>
    </sheetView>
  </sheetViews>
  <sheetFormatPr defaultRowHeight="12.75" x14ac:dyDescent="0.2"/>
  <cols>
    <col min="1" max="1" width="29" customWidth="1"/>
    <col min="2" max="2" width="27.42578125" hidden="1" customWidth="1"/>
    <col min="3" max="6" width="11.7109375" customWidth="1"/>
    <col min="7" max="7" width="11.7109375" hidden="1" customWidth="1"/>
    <col min="8" max="24" width="11.7109375" customWidth="1"/>
    <col min="25" max="25" width="1.7109375" customWidth="1"/>
    <col min="26" max="26" width="41.5703125" hidden="1" customWidth="1"/>
    <col min="27" max="27" width="11.7109375" hidden="1" customWidth="1"/>
    <col min="28" max="31" width="11.7109375" customWidth="1"/>
    <col min="32" max="32" width="12.7109375" customWidth="1"/>
    <col min="33" max="35" width="12.7109375" hidden="1" customWidth="1"/>
    <col min="36" max="37" width="12.7109375" customWidth="1"/>
    <col min="38" max="38" width="3.42578125" customWidth="1"/>
    <col min="39" max="39" width="12.7109375" hidden="1" customWidth="1"/>
    <col min="40" max="43" width="10.7109375" customWidth="1"/>
    <col min="44" max="45" width="11.7109375" customWidth="1"/>
    <col min="46" max="46" width="9.7109375" customWidth="1"/>
    <col min="47" max="50" width="11.7109375" customWidth="1"/>
    <col min="51" max="51" width="9.7109375" customWidth="1"/>
    <col min="52" max="52" width="11.7109375" customWidth="1"/>
  </cols>
  <sheetData>
    <row r="1" spans="1:52" ht="18" x14ac:dyDescent="0.25">
      <c r="A1" s="10" t="s">
        <v>231</v>
      </c>
      <c r="B1" s="10"/>
      <c r="C1" s="4"/>
      <c r="D1" s="4"/>
      <c r="E1" s="4"/>
      <c r="F1" s="5"/>
      <c r="G1" s="4"/>
      <c r="H1" s="4"/>
      <c r="I1" s="4"/>
      <c r="J1" s="4"/>
      <c r="K1" s="4"/>
      <c r="L1" s="2"/>
      <c r="W1" s="4"/>
    </row>
    <row r="2" spans="1:52" x14ac:dyDescent="0.2">
      <c r="A2" s="11" t="s">
        <v>348</v>
      </c>
      <c r="B2" s="1"/>
      <c r="C2" s="4"/>
      <c r="D2" s="4"/>
      <c r="E2" s="4"/>
      <c r="F2" s="4"/>
      <c r="G2" s="4"/>
      <c r="H2" s="4"/>
      <c r="I2" s="4"/>
      <c r="J2" s="4"/>
      <c r="K2" s="4"/>
      <c r="L2" s="2"/>
      <c r="W2" s="4"/>
    </row>
    <row r="3" spans="1:52" x14ac:dyDescent="0.2">
      <c r="A3" s="36"/>
      <c r="B3" s="36"/>
      <c r="C3" s="4"/>
      <c r="D3" s="4"/>
      <c r="E3" s="4"/>
      <c r="F3" s="4"/>
      <c r="G3" s="4"/>
      <c r="H3" s="4"/>
      <c r="I3" s="4"/>
      <c r="J3" s="4"/>
      <c r="K3" s="4"/>
      <c r="L3" s="2"/>
      <c r="W3" s="4"/>
    </row>
    <row r="4" spans="1:52" x14ac:dyDescent="0.2">
      <c r="A4" s="4"/>
      <c r="B4" s="4"/>
      <c r="C4" s="6" t="s">
        <v>25</v>
      </c>
      <c r="D4" s="44">
        <v>2024</v>
      </c>
      <c r="E4" s="76">
        <v>2024</v>
      </c>
      <c r="F4" s="44">
        <v>2024</v>
      </c>
      <c r="G4" s="44">
        <v>2023</v>
      </c>
      <c r="H4" s="6">
        <v>2024</v>
      </c>
      <c r="I4" s="6">
        <v>2024</v>
      </c>
      <c r="J4" s="6">
        <v>2024</v>
      </c>
      <c r="K4" s="6">
        <v>2024</v>
      </c>
      <c r="L4" s="6">
        <v>2024</v>
      </c>
      <c r="M4" s="6">
        <v>2024</v>
      </c>
      <c r="N4" s="6">
        <v>2024</v>
      </c>
      <c r="O4" s="6">
        <v>2024</v>
      </c>
      <c r="P4" s="6">
        <v>2024</v>
      </c>
      <c r="Q4" s="6">
        <v>2024</v>
      </c>
      <c r="R4" s="6">
        <v>2024</v>
      </c>
      <c r="S4" s="6">
        <v>2024</v>
      </c>
      <c r="T4" s="6">
        <v>2024</v>
      </c>
      <c r="U4" s="76">
        <v>2024</v>
      </c>
      <c r="V4" s="115">
        <v>2024</v>
      </c>
      <c r="W4" s="67" t="s">
        <v>230</v>
      </c>
      <c r="X4" s="44">
        <v>2023</v>
      </c>
      <c r="Y4" s="6"/>
      <c r="Z4" s="4"/>
      <c r="AA4" s="40" t="s">
        <v>66</v>
      </c>
      <c r="AB4" s="40">
        <v>2024</v>
      </c>
      <c r="AC4" s="40">
        <v>2024</v>
      </c>
      <c r="AD4" s="106" t="s">
        <v>336</v>
      </c>
      <c r="AE4" s="40"/>
      <c r="AF4" s="40" t="s">
        <v>66</v>
      </c>
      <c r="AG4" s="41" t="s">
        <v>66</v>
      </c>
      <c r="AH4" s="41" t="s">
        <v>66</v>
      </c>
      <c r="AI4" s="41" t="s">
        <v>66</v>
      </c>
      <c r="AJ4" s="105" t="s">
        <v>346</v>
      </c>
      <c r="AK4" s="41"/>
      <c r="AL4" s="41"/>
      <c r="AM4" s="41" t="s">
        <v>51</v>
      </c>
      <c r="AN4" s="111" t="s">
        <v>51</v>
      </c>
      <c r="AO4" s="41" t="s">
        <v>284</v>
      </c>
      <c r="AP4" s="41" t="s">
        <v>284</v>
      </c>
      <c r="AQ4" s="41" t="s">
        <v>284</v>
      </c>
      <c r="AR4" s="41" t="s">
        <v>287</v>
      </c>
      <c r="AS4" s="117" t="s">
        <v>296</v>
      </c>
      <c r="AT4" s="105" t="s">
        <v>296</v>
      </c>
      <c r="AU4" s="111" t="s">
        <v>290</v>
      </c>
      <c r="AV4" s="41" t="s">
        <v>292</v>
      </c>
      <c r="AW4" s="41" t="s">
        <v>217</v>
      </c>
      <c r="AX4" s="117" t="s">
        <v>294</v>
      </c>
      <c r="AY4" s="105" t="s">
        <v>294</v>
      </c>
      <c r="AZ4" s="117" t="s">
        <v>66</v>
      </c>
    </row>
    <row r="5" spans="1:52" x14ac:dyDescent="0.2">
      <c r="A5" s="4"/>
      <c r="B5" s="4"/>
      <c r="C5" s="28" t="s">
        <v>20</v>
      </c>
      <c r="D5" s="49" t="s">
        <v>99</v>
      </c>
      <c r="E5" s="77" t="s">
        <v>22</v>
      </c>
      <c r="F5" s="54" t="s">
        <v>19</v>
      </c>
      <c r="G5" s="49" t="s">
        <v>49</v>
      </c>
      <c r="H5" s="49" t="s">
        <v>55</v>
      </c>
      <c r="I5" s="28" t="s">
        <v>24</v>
      </c>
      <c r="J5" s="28" t="s">
        <v>139</v>
      </c>
      <c r="K5" s="28" t="s">
        <v>223</v>
      </c>
      <c r="L5" s="28" t="s">
        <v>51</v>
      </c>
      <c r="M5" s="28" t="s">
        <v>51</v>
      </c>
      <c r="N5" s="118" t="s">
        <v>51</v>
      </c>
      <c r="O5" s="28" t="s">
        <v>200</v>
      </c>
      <c r="P5" s="28" t="s">
        <v>205</v>
      </c>
      <c r="Q5" s="28" t="s">
        <v>206</v>
      </c>
      <c r="R5" s="118" t="s">
        <v>316</v>
      </c>
      <c r="S5" s="28" t="s">
        <v>141</v>
      </c>
      <c r="T5" s="28" t="s">
        <v>108</v>
      </c>
      <c r="U5" s="77" t="s">
        <v>25</v>
      </c>
      <c r="V5" s="116" t="s">
        <v>25</v>
      </c>
      <c r="W5" s="67" t="s">
        <v>25</v>
      </c>
      <c r="X5" s="61" t="s">
        <v>232</v>
      </c>
      <c r="Y5" s="6"/>
      <c r="Z5" s="4"/>
      <c r="AA5" s="40" t="s">
        <v>67</v>
      </c>
      <c r="AB5" s="40" t="s">
        <v>69</v>
      </c>
      <c r="AC5" s="106" t="s">
        <v>295</v>
      </c>
      <c r="AD5" s="106" t="s">
        <v>337</v>
      </c>
      <c r="AE5" s="106"/>
      <c r="AF5" s="40">
        <v>2024</v>
      </c>
      <c r="AG5" s="41" t="s">
        <v>69</v>
      </c>
      <c r="AH5" s="105" t="s">
        <v>295</v>
      </c>
      <c r="AI5" s="41">
        <v>2023</v>
      </c>
      <c r="AJ5" s="105" t="s">
        <v>66</v>
      </c>
      <c r="AK5" s="41"/>
      <c r="AL5" s="41"/>
      <c r="AM5" s="41" t="s">
        <v>273</v>
      </c>
      <c r="AN5" s="111" t="s">
        <v>273</v>
      </c>
      <c r="AO5" s="41" t="s">
        <v>285</v>
      </c>
      <c r="AP5" s="41" t="s">
        <v>216</v>
      </c>
      <c r="AQ5" s="41" t="s">
        <v>286</v>
      </c>
      <c r="AR5" s="41" t="s">
        <v>288</v>
      </c>
      <c r="AS5" s="117" t="s">
        <v>20</v>
      </c>
      <c r="AT5" s="105" t="s">
        <v>65</v>
      </c>
      <c r="AU5" s="111" t="s">
        <v>291</v>
      </c>
      <c r="AV5" s="41" t="s">
        <v>288</v>
      </c>
      <c r="AW5" s="41" t="s">
        <v>288</v>
      </c>
      <c r="AX5" s="117" t="s">
        <v>20</v>
      </c>
      <c r="AY5" s="105" t="s">
        <v>65</v>
      </c>
      <c r="AZ5" s="117" t="s">
        <v>287</v>
      </c>
    </row>
    <row r="6" spans="1:52" x14ac:dyDescent="0.2">
      <c r="A6" s="9" t="s">
        <v>16</v>
      </c>
      <c r="B6" s="9"/>
      <c r="C6" s="6">
        <v>2023</v>
      </c>
      <c r="D6" s="44"/>
      <c r="E6" s="76" t="s">
        <v>23</v>
      </c>
      <c r="F6" s="55" t="s">
        <v>20</v>
      </c>
      <c r="G6" s="44" t="s">
        <v>50</v>
      </c>
      <c r="H6" s="44" t="s">
        <v>54</v>
      </c>
      <c r="I6" s="6"/>
      <c r="J6" s="6" t="s">
        <v>140</v>
      </c>
      <c r="K6" s="6" t="s">
        <v>24</v>
      </c>
      <c r="L6" s="6" t="s">
        <v>56</v>
      </c>
      <c r="M6" s="6" t="s">
        <v>62</v>
      </c>
      <c r="N6" s="119" t="s">
        <v>300</v>
      </c>
      <c r="O6" s="6" t="s">
        <v>201</v>
      </c>
      <c r="P6" s="6" t="s">
        <v>129</v>
      </c>
      <c r="Q6" s="6" t="s">
        <v>129</v>
      </c>
      <c r="R6" s="119" t="s">
        <v>129</v>
      </c>
      <c r="S6" s="6" t="s">
        <v>24</v>
      </c>
      <c r="T6" s="6" t="s">
        <v>109</v>
      </c>
      <c r="U6" s="76" t="s">
        <v>58</v>
      </c>
      <c r="V6" s="115" t="s">
        <v>27</v>
      </c>
      <c r="W6" s="66" t="s">
        <v>20</v>
      </c>
      <c r="X6" s="44" t="s">
        <v>60</v>
      </c>
      <c r="Y6" s="6"/>
      <c r="Z6" s="1" t="s">
        <v>233</v>
      </c>
      <c r="AA6" s="40" t="s">
        <v>65</v>
      </c>
      <c r="AB6" s="40" t="s">
        <v>70</v>
      </c>
      <c r="AC6" s="40" t="s">
        <v>70</v>
      </c>
      <c r="AD6" s="106" t="s">
        <v>67</v>
      </c>
      <c r="AE6" s="40"/>
      <c r="AF6" s="40"/>
      <c r="AG6" s="41" t="s">
        <v>70</v>
      </c>
      <c r="AH6" s="41" t="s">
        <v>70</v>
      </c>
      <c r="AI6" s="64"/>
      <c r="AJ6" s="64">
        <v>2024</v>
      </c>
      <c r="AK6" s="64"/>
      <c r="AL6" s="64"/>
      <c r="AM6" s="41" t="s">
        <v>155</v>
      </c>
      <c r="AN6" s="112" t="s">
        <v>275</v>
      </c>
      <c r="AO6" s="98" t="s">
        <v>218</v>
      </c>
      <c r="AP6" s="98"/>
      <c r="AR6" s="41" t="s">
        <v>289</v>
      </c>
      <c r="AS6" s="117" t="s">
        <v>293</v>
      </c>
      <c r="AT6" s="105" t="s">
        <v>293</v>
      </c>
      <c r="AU6" s="63"/>
      <c r="AV6" s="104">
        <v>7.6499999999999999E-2</v>
      </c>
      <c r="AW6" s="41" t="s">
        <v>293</v>
      </c>
      <c r="AX6" s="111" t="s">
        <v>293</v>
      </c>
      <c r="AY6" s="105" t="s">
        <v>293</v>
      </c>
      <c r="AZ6" s="117" t="s">
        <v>51</v>
      </c>
    </row>
    <row r="7" spans="1:52" x14ac:dyDescent="0.2">
      <c r="A7" s="4"/>
      <c r="B7" s="4"/>
      <c r="C7" s="7"/>
      <c r="D7" s="43"/>
      <c r="E7" s="56"/>
      <c r="F7" s="56"/>
      <c r="G7" s="43"/>
      <c r="H7" s="4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6"/>
      <c r="V7" s="57"/>
      <c r="W7" s="125"/>
      <c r="X7" s="45"/>
      <c r="Y7" s="4"/>
      <c r="Z7" s="4"/>
      <c r="AN7" s="63"/>
      <c r="AS7" s="63"/>
      <c r="AU7" s="63"/>
      <c r="AX7" s="63"/>
      <c r="AZ7" s="117" t="s">
        <v>297</v>
      </c>
    </row>
    <row r="8" spans="1:52" x14ac:dyDescent="0.2">
      <c r="A8" s="11" t="s">
        <v>313</v>
      </c>
      <c r="B8" s="1"/>
      <c r="C8" s="7"/>
      <c r="D8" s="45"/>
      <c r="E8" s="56"/>
      <c r="F8" s="56"/>
      <c r="G8" s="43"/>
      <c r="H8" s="4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6"/>
      <c r="V8" s="57"/>
      <c r="W8" s="68"/>
      <c r="X8" s="45"/>
      <c r="Y8" s="4"/>
      <c r="Z8" s="4"/>
      <c r="AN8" s="63"/>
      <c r="AS8" s="63"/>
      <c r="AU8" s="63"/>
      <c r="AX8" s="63"/>
      <c r="AZ8" s="63"/>
    </row>
    <row r="9" spans="1:52" x14ac:dyDescent="0.2">
      <c r="A9" s="4" t="s">
        <v>24</v>
      </c>
      <c r="B9" s="4" t="s">
        <v>246</v>
      </c>
      <c r="C9" s="7"/>
      <c r="D9" s="43"/>
      <c r="E9" s="56"/>
      <c r="F9" s="57"/>
      <c r="G9" s="45"/>
      <c r="H9" s="45"/>
      <c r="I9" s="7">
        <f>AF9+AX9-H9-L9-M9-O9-P9-Q9-S9-T9</f>
        <v>135359.9914011558</v>
      </c>
      <c r="J9" s="7"/>
      <c r="K9" s="7"/>
      <c r="L9" s="7">
        <f>(AG9)*0.0125</f>
        <v>1174.3901250000001</v>
      </c>
      <c r="M9" s="7">
        <f>(AG9)*0.05</f>
        <v>4697.5605000000005</v>
      </c>
      <c r="N9" s="7"/>
      <c r="O9" s="7">
        <f>(AF9+AX9)*0.02</f>
        <v>3040.1979692949121</v>
      </c>
      <c r="P9" s="7">
        <f>0.05*AI9</f>
        <v>4697.5605000000005</v>
      </c>
      <c r="Q9" s="7">
        <f>(AF9+AX9)*0.02</f>
        <v>3040.1979692949121</v>
      </c>
      <c r="R9" s="7"/>
      <c r="S9" s="7"/>
      <c r="T9" s="22"/>
      <c r="U9" s="57"/>
      <c r="V9" s="57">
        <f>H9+I9+J9+K9+L9+M9+N9+O9+P9+Q9+R9+S9+T9</f>
        <v>152009.89846474561</v>
      </c>
      <c r="W9" s="68">
        <f t="shared" ref="W9:W20" si="0">AF9+AX9</f>
        <v>152009.89846474561</v>
      </c>
      <c r="X9" s="45"/>
      <c r="Y9" s="7"/>
      <c r="Z9" s="4" t="s">
        <v>133</v>
      </c>
      <c r="AA9" s="29">
        <f>AG9/AH9-1</f>
        <v>1.0000000000000009E-2</v>
      </c>
      <c r="AB9" s="151">
        <f>AC9*1.01/2+(8500*7)</f>
        <v>107187.7156</v>
      </c>
      <c r="AC9" s="15">
        <v>94431.12</v>
      </c>
      <c r="AD9" s="15">
        <v>0</v>
      </c>
      <c r="AE9" s="15"/>
      <c r="AF9" s="15">
        <f>AB9</f>
        <v>107187.7156</v>
      </c>
      <c r="AG9" s="15">
        <f>AH9*1.01</f>
        <v>93951.21</v>
      </c>
      <c r="AH9" s="15">
        <v>93021</v>
      </c>
      <c r="AI9" s="15">
        <f>AG9</f>
        <v>93951.21</v>
      </c>
      <c r="AJ9" s="15"/>
      <c r="AK9" s="15"/>
      <c r="AL9" s="15"/>
      <c r="AM9" s="15" t="s">
        <v>274</v>
      </c>
      <c r="AN9" s="102">
        <v>930.76</v>
      </c>
      <c r="AO9" s="81">
        <v>19.2</v>
      </c>
      <c r="AP9">
        <v>43.86</v>
      </c>
      <c r="AQ9" s="81">
        <f t="shared" ref="AQ9:AQ20" si="1">AF9*0.009576/12</f>
        <v>85.535797048799978</v>
      </c>
      <c r="AR9" s="74">
        <f>AF9*0.2152/12</f>
        <v>1922.2330330933335</v>
      </c>
      <c r="AS9" s="113">
        <f>(AN9+AO9+AP9+AQ9+AR9)*12</f>
        <v>36019.065961705608</v>
      </c>
      <c r="AT9" s="110">
        <f t="shared" ref="AT9:AT20" si="2">AS9/AF9</f>
        <v>0.33603725725549105</v>
      </c>
      <c r="AU9" s="114">
        <f t="shared" ref="AU9:AU20" si="3">(AF9*0.19/100)/12</f>
        <v>16.971388303333331</v>
      </c>
      <c r="AV9" s="81">
        <f t="shared" ref="AV9:AV20" si="4">AF9*0.0765/12</f>
        <v>683.32168695000007</v>
      </c>
      <c r="AW9">
        <v>33.299999999999997</v>
      </c>
      <c r="AX9" s="102">
        <f>(AN9+AO9+AP9+AQ9+AR9+AU9+AV9+AW9)*12</f>
        <v>44822.182864745606</v>
      </c>
      <c r="AY9" s="29">
        <f t="shared" ref="AY9:AY20" si="5">AX9/AF9</f>
        <v>0.41816529640403688</v>
      </c>
      <c r="AZ9" s="102">
        <f t="shared" ref="AZ9:AZ20" si="6">AF9+AS9</f>
        <v>143206.7815617056</v>
      </c>
    </row>
    <row r="10" spans="1:52" x14ac:dyDescent="0.2">
      <c r="A10" s="4" t="s">
        <v>245</v>
      </c>
      <c r="B10" s="4" t="s">
        <v>247</v>
      </c>
      <c r="C10" s="7"/>
      <c r="D10" s="43"/>
      <c r="E10" s="56"/>
      <c r="F10" s="57"/>
      <c r="G10" s="45"/>
      <c r="H10" s="45"/>
      <c r="I10" s="7"/>
      <c r="J10" s="7"/>
      <c r="K10" s="7">
        <f>AF10+AX10-O10-Q10-R10</f>
        <v>66715.725933900001</v>
      </c>
      <c r="L10" s="7"/>
      <c r="M10" s="7"/>
      <c r="N10" s="7"/>
      <c r="O10" s="7">
        <f>(AF10+AX10)*0.05</f>
        <v>3924.4544667000005</v>
      </c>
      <c r="P10" s="7"/>
      <c r="Q10" s="7">
        <f>(AF10+AX10)*0.05</f>
        <v>3924.4544667000005</v>
      </c>
      <c r="R10" s="7">
        <f>(AF10+AX10)*0.05</f>
        <v>3924.4544667000005</v>
      </c>
      <c r="S10" s="7"/>
      <c r="T10" s="22"/>
      <c r="U10" s="57"/>
      <c r="V10" s="57">
        <f t="shared" ref="V10:V28" si="7">H10+I10+J10+K10+L10+M10+N10+O10+P10+Q10+R10+S10+T10</f>
        <v>78489.089334000004</v>
      </c>
      <c r="W10" s="68">
        <f t="shared" si="0"/>
        <v>78489.089334000004</v>
      </c>
      <c r="X10" s="45"/>
      <c r="Y10" s="7"/>
      <c r="Z10" s="4" t="s">
        <v>204</v>
      </c>
      <c r="AA10" s="29">
        <f>AB10/AC10-1</f>
        <v>2.9282372847616145E-2</v>
      </c>
      <c r="AB10" s="15">
        <v>51706</v>
      </c>
      <c r="AC10" s="15">
        <v>50235</v>
      </c>
      <c r="AD10" s="15">
        <v>3</v>
      </c>
      <c r="AE10" s="15">
        <f>AD10*AF10/100</f>
        <v>1518.0825</v>
      </c>
      <c r="AF10" s="15">
        <f>((AC10/12*9)+(AB10/12*3))</f>
        <v>50602.75</v>
      </c>
      <c r="AG10" s="15"/>
      <c r="AH10" s="15">
        <v>44260</v>
      </c>
      <c r="AI10" s="15">
        <f>AH10/12*4</f>
        <v>14753.333333333334</v>
      </c>
      <c r="AJ10" s="15">
        <f>AE10+AF10</f>
        <v>52120.832499999997</v>
      </c>
      <c r="AK10" s="15"/>
      <c r="AL10" s="15"/>
      <c r="AM10" s="15" t="s">
        <v>277</v>
      </c>
      <c r="AN10" s="102">
        <v>949.04</v>
      </c>
      <c r="AO10" s="81">
        <v>19.2</v>
      </c>
      <c r="AP10">
        <v>43.86</v>
      </c>
      <c r="AQ10" s="81">
        <f t="shared" si="1"/>
        <v>40.3809945</v>
      </c>
      <c r="AR10" s="74">
        <f t="shared" ref="AR10:AR37" si="8">AF10*0.2152/12</f>
        <v>907.47598333333337</v>
      </c>
      <c r="AS10" s="113">
        <f t="shared" ref="AS10:AS39" si="9">(AN10+AO10+AP10+AQ10+AR10)*12</f>
        <v>23519.483734000001</v>
      </c>
      <c r="AT10" s="110">
        <f t="shared" si="2"/>
        <v>0.46478667135679386</v>
      </c>
      <c r="AU10" s="114">
        <f t="shared" si="3"/>
        <v>8.0121020833333336</v>
      </c>
      <c r="AV10" s="81">
        <f t="shared" si="4"/>
        <v>322.59253124999998</v>
      </c>
      <c r="AW10">
        <v>33.299999999999997</v>
      </c>
      <c r="AX10" s="102">
        <f t="shared" ref="AX10:AX39" si="10">(AN10+AO10+AP10+AQ10+AR10+AU10+AV10+AW10)*12</f>
        <v>27886.339334000004</v>
      </c>
      <c r="AY10" s="29">
        <f t="shared" si="5"/>
        <v>0.55108347538424307</v>
      </c>
      <c r="AZ10" s="102">
        <f t="shared" si="6"/>
        <v>74122.233734000009</v>
      </c>
    </row>
    <row r="11" spans="1:52" x14ac:dyDescent="0.2">
      <c r="A11" s="4" t="s">
        <v>102</v>
      </c>
      <c r="B11" s="4" t="s">
        <v>248</v>
      </c>
      <c r="C11" s="7"/>
      <c r="D11" s="43"/>
      <c r="E11" s="56"/>
      <c r="F11" s="56"/>
      <c r="G11" s="50"/>
      <c r="H11" s="50">
        <f>AF11+AX11-L11-M11-O11-P11-Q11-R11</f>
        <v>59247.347615710001</v>
      </c>
      <c r="I11" s="22"/>
      <c r="J11" s="22"/>
      <c r="K11" s="22"/>
      <c r="L11" s="22">
        <f>(AF11+AX11)*0.0125</f>
        <v>1271.40230935</v>
      </c>
      <c r="M11" s="22">
        <f>(AF11+AX11)*0.05</f>
        <v>5085.6092374</v>
      </c>
      <c r="N11" s="22"/>
      <c r="O11" s="7">
        <f>(AF11+AX11)*0.05</f>
        <v>5085.6092374</v>
      </c>
      <c r="P11" s="22">
        <f>(AF11+AX11)*0.15</f>
        <v>15256.8277122</v>
      </c>
      <c r="Q11" s="7">
        <f>(AF11+AX11)*0.1</f>
        <v>10171.2184748</v>
      </c>
      <c r="R11" s="7">
        <f>(AF11+AX11)*0.055</f>
        <v>5594.1701611400003</v>
      </c>
      <c r="S11" s="22"/>
      <c r="T11" s="22"/>
      <c r="U11" s="57"/>
      <c r="V11" s="57">
        <f t="shared" si="7"/>
        <v>101712.184748</v>
      </c>
      <c r="W11" s="68">
        <f t="shared" si="0"/>
        <v>101712.184748</v>
      </c>
      <c r="X11" s="45"/>
      <c r="Y11" s="7"/>
      <c r="Z11" s="4" t="s">
        <v>134</v>
      </c>
      <c r="AA11" s="73">
        <f>AG11/AH11-1</f>
        <v>1.9009768909022728E-2</v>
      </c>
      <c r="AB11" s="15">
        <f>72375+3600</f>
        <v>75975</v>
      </c>
      <c r="AC11" s="15">
        <f>70931+3600</f>
        <v>74531</v>
      </c>
      <c r="AD11" s="15">
        <v>1</v>
      </c>
      <c r="AE11" s="15">
        <f t="shared" ref="AE11:AE37" si="11">AD11*AF11/100</f>
        <v>749.52166666666676</v>
      </c>
      <c r="AF11" s="15">
        <f>((AC11/24*17)+(AB11/24*7))</f>
        <v>74952.166666666672</v>
      </c>
      <c r="AG11" s="15">
        <v>73331</v>
      </c>
      <c r="AH11" s="15">
        <v>71963</v>
      </c>
      <c r="AI11" s="15">
        <f>(AH11/24*17)+AG11/24*7</f>
        <v>72362</v>
      </c>
      <c r="AJ11" s="15">
        <f t="shared" ref="AJ11:AJ37" si="12">AE11+AF11</f>
        <v>75701.688333333339</v>
      </c>
      <c r="AK11" s="15"/>
      <c r="AL11" s="15"/>
      <c r="AM11" s="15" t="s">
        <v>276</v>
      </c>
      <c r="AN11" s="102">
        <v>240</v>
      </c>
      <c r="AO11" s="81">
        <v>19.2</v>
      </c>
      <c r="AP11">
        <v>43.86</v>
      </c>
      <c r="AQ11" s="81">
        <f t="shared" si="1"/>
        <v>59.811828999999996</v>
      </c>
      <c r="AR11" s="74">
        <f t="shared" si="8"/>
        <v>1344.142188888889</v>
      </c>
      <c r="AS11" s="113">
        <f t="shared" si="9"/>
        <v>20484.168214666668</v>
      </c>
      <c r="AT11" s="110">
        <f t="shared" si="2"/>
        <v>0.27329654532557429</v>
      </c>
      <c r="AU11" s="114">
        <f t="shared" si="3"/>
        <v>11.867426388888889</v>
      </c>
      <c r="AV11" s="81">
        <f t="shared" si="4"/>
        <v>477.82006250000001</v>
      </c>
      <c r="AW11">
        <v>33.299999999999997</v>
      </c>
      <c r="AX11" s="102">
        <f t="shared" si="10"/>
        <v>26760.018081333335</v>
      </c>
      <c r="AY11" s="29">
        <f t="shared" si="5"/>
        <v>0.35702794557417733</v>
      </c>
      <c r="AZ11" s="102">
        <f t="shared" si="6"/>
        <v>95436.334881333343</v>
      </c>
    </row>
    <row r="12" spans="1:52" x14ac:dyDescent="0.2">
      <c r="A12" s="12" t="s">
        <v>240</v>
      </c>
      <c r="B12" s="12" t="s">
        <v>249</v>
      </c>
      <c r="C12" s="7"/>
      <c r="D12" s="45"/>
      <c r="E12" s="57"/>
      <c r="F12" s="57"/>
      <c r="G12" s="45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>AF12+AX12</f>
        <v>97172.264511999994</v>
      </c>
      <c r="U12" s="57"/>
      <c r="V12" s="57">
        <f t="shared" si="7"/>
        <v>97172.264511999994</v>
      </c>
      <c r="W12" s="68">
        <f t="shared" si="0"/>
        <v>97172.264511999994</v>
      </c>
      <c r="X12" s="45"/>
      <c r="Y12" s="7"/>
      <c r="Z12" s="4" t="s">
        <v>198</v>
      </c>
      <c r="AA12" s="73">
        <f>AB12/AC12-1</f>
        <v>2.4586121873899192E-2</v>
      </c>
      <c r="AB12" s="15">
        <f>54576+3600</f>
        <v>58176</v>
      </c>
      <c r="AC12" s="15">
        <f>53180+3600</f>
        <v>56780</v>
      </c>
      <c r="AD12" s="15">
        <v>3</v>
      </c>
      <c r="AE12" s="15">
        <f t="shared" si="11"/>
        <v>1717.36</v>
      </c>
      <c r="AF12" s="15">
        <f>(AC12/12*8)+(AB12/12*4)</f>
        <v>57245.333333333336</v>
      </c>
      <c r="AG12" s="15">
        <f>51620+1200</f>
        <v>52820</v>
      </c>
      <c r="AH12" s="15">
        <v>50146</v>
      </c>
      <c r="AI12" s="15">
        <f>AH12/24*16+AG12/24*8</f>
        <v>51037.333333333328</v>
      </c>
      <c r="AJ12" s="15">
        <f t="shared" si="12"/>
        <v>58962.693333333336</v>
      </c>
      <c r="AK12" s="15"/>
      <c r="AL12" s="15"/>
      <c r="AM12" s="15" t="s">
        <v>278</v>
      </c>
      <c r="AN12" s="102">
        <v>1679.16</v>
      </c>
      <c r="AO12" s="81">
        <v>19.2</v>
      </c>
      <c r="AP12" s="81">
        <v>149.30000000000001</v>
      </c>
      <c r="AQ12" s="81">
        <f t="shared" si="1"/>
        <v>45.681776000000006</v>
      </c>
      <c r="AR12" s="74">
        <f t="shared" si="8"/>
        <v>1026.5996444444445</v>
      </c>
      <c r="AS12" s="113">
        <f t="shared" si="9"/>
        <v>35039.29704533334</v>
      </c>
      <c r="AT12" s="110">
        <f t="shared" si="2"/>
        <v>0.61209001686309228</v>
      </c>
      <c r="AU12" s="114">
        <f t="shared" si="3"/>
        <v>9.0638444444444453</v>
      </c>
      <c r="AV12" s="81">
        <f t="shared" si="4"/>
        <v>364.93900000000002</v>
      </c>
      <c r="AW12">
        <v>33.299999999999997</v>
      </c>
      <c r="AX12" s="102">
        <f t="shared" si="10"/>
        <v>39926.931178666666</v>
      </c>
      <c r="AY12" s="29">
        <f t="shared" si="5"/>
        <v>0.69747049853263143</v>
      </c>
      <c r="AZ12" s="102">
        <f t="shared" si="6"/>
        <v>92284.630378666683</v>
      </c>
    </row>
    <row r="13" spans="1:52" x14ac:dyDescent="0.2">
      <c r="A13" s="12" t="s">
        <v>196</v>
      </c>
      <c r="B13" s="12" t="s">
        <v>250</v>
      </c>
      <c r="C13" s="7"/>
      <c r="D13" s="45"/>
      <c r="E13" s="57"/>
      <c r="F13" s="57"/>
      <c r="G13" s="45"/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>AF13+AX13</f>
        <v>73055.60560000001</v>
      </c>
      <c r="U13" s="57"/>
      <c r="V13" s="57">
        <f t="shared" si="7"/>
        <v>73055.60560000001</v>
      </c>
      <c r="W13" s="68">
        <f t="shared" si="0"/>
        <v>73055.60560000001</v>
      </c>
      <c r="X13" s="45"/>
      <c r="Y13" s="7"/>
      <c r="Z13" s="4" t="s">
        <v>210</v>
      </c>
      <c r="AA13" s="73">
        <f>AB13/AC13-1</f>
        <v>3.2125709297250005E-2</v>
      </c>
      <c r="AB13" s="15">
        <v>47292</v>
      </c>
      <c r="AC13" s="15">
        <v>45820</v>
      </c>
      <c r="AD13" s="15">
        <v>4</v>
      </c>
      <c r="AE13" s="15">
        <f t="shared" si="11"/>
        <v>1857.3333333333335</v>
      </c>
      <c r="AF13" s="15">
        <f>(AC13/12*7)+(AB13/12*5)</f>
        <v>46433.333333333336</v>
      </c>
      <c r="AG13" s="15"/>
      <c r="AH13" s="15">
        <v>44260</v>
      </c>
      <c r="AI13" s="15">
        <f>AH13/12*5</f>
        <v>18441.666666666668</v>
      </c>
      <c r="AJ13" s="15">
        <f t="shared" si="12"/>
        <v>48290.666666666672</v>
      </c>
      <c r="AK13" s="15"/>
      <c r="AL13" s="15"/>
      <c r="AM13" s="15" t="s">
        <v>277</v>
      </c>
      <c r="AN13" s="102">
        <v>949.04</v>
      </c>
      <c r="AO13" s="81">
        <v>19.2</v>
      </c>
      <c r="AP13">
        <v>43.86</v>
      </c>
      <c r="AQ13" s="81">
        <f t="shared" si="1"/>
        <v>37.053800000000003</v>
      </c>
      <c r="AR13" s="74">
        <f t="shared" si="8"/>
        <v>832.70444444444456</v>
      </c>
      <c r="AS13" s="113">
        <f t="shared" si="9"/>
        <v>22582.298933333335</v>
      </c>
      <c r="AT13" s="110">
        <f t="shared" si="2"/>
        <v>0.48633809619526203</v>
      </c>
      <c r="AU13" s="114">
        <f t="shared" si="3"/>
        <v>7.3519444444444453</v>
      </c>
      <c r="AV13" s="81">
        <f t="shared" si="4"/>
        <v>296.01249999999999</v>
      </c>
      <c r="AW13">
        <v>33.299999999999997</v>
      </c>
      <c r="AX13" s="102">
        <f t="shared" si="10"/>
        <v>26622.27226666667</v>
      </c>
      <c r="AY13" s="29">
        <f t="shared" si="5"/>
        <v>0.57334398277099785</v>
      </c>
      <c r="AZ13" s="102">
        <f t="shared" si="6"/>
        <v>69015.632266666667</v>
      </c>
    </row>
    <row r="14" spans="1:52" x14ac:dyDescent="0.2">
      <c r="A14" s="4" t="s">
        <v>234</v>
      </c>
      <c r="B14" s="4" t="s">
        <v>251</v>
      </c>
      <c r="C14" s="7"/>
      <c r="D14" s="62"/>
      <c r="E14" s="57"/>
      <c r="F14" s="57"/>
      <c r="G14" s="45"/>
      <c r="H14" s="45"/>
      <c r="I14" s="7"/>
      <c r="J14" s="7"/>
      <c r="K14" s="7"/>
      <c r="L14" s="7">
        <f>AF14+AX14</f>
        <v>82754.710175999993</v>
      </c>
      <c r="M14" s="7"/>
      <c r="N14" s="7"/>
      <c r="O14" s="7"/>
      <c r="P14" s="7"/>
      <c r="Q14" s="7"/>
      <c r="R14" s="7"/>
      <c r="S14" s="7"/>
      <c r="T14" s="7"/>
      <c r="U14" s="57"/>
      <c r="V14" s="57">
        <f t="shared" si="7"/>
        <v>82754.710175999993</v>
      </c>
      <c r="W14" s="68">
        <f t="shared" si="0"/>
        <v>82754.710175999993</v>
      </c>
      <c r="X14" s="45"/>
      <c r="Y14" s="7"/>
      <c r="Z14" s="4" t="s">
        <v>134</v>
      </c>
      <c r="AA14" s="73">
        <f t="shared" ref="AA14:AA15" si="13">AB14/AC14-1</f>
        <v>3.3424908424908528E-2</v>
      </c>
      <c r="AB14" s="15">
        <f>51768+2400</f>
        <v>54168</v>
      </c>
      <c r="AC14" s="15">
        <f>50016+2400</f>
        <v>52416</v>
      </c>
      <c r="AD14" s="15">
        <v>3</v>
      </c>
      <c r="AE14" s="15">
        <f t="shared" si="11"/>
        <v>1616.28</v>
      </c>
      <c r="AF14" s="15">
        <f>(AC14/12*2)+(AB14/12*10)</f>
        <v>53876</v>
      </c>
      <c r="AG14" s="15">
        <v>50256</v>
      </c>
      <c r="AH14" s="15">
        <v>48504</v>
      </c>
      <c r="AI14" s="74">
        <f>(AG14/12*2)+(AH14/12*10)</f>
        <v>48796</v>
      </c>
      <c r="AJ14" s="15">
        <f t="shared" si="12"/>
        <v>55492.28</v>
      </c>
      <c r="AK14" s="74"/>
      <c r="AL14" s="74"/>
      <c r="AM14" s="74" t="s">
        <v>277</v>
      </c>
      <c r="AN14" s="102">
        <v>949.04</v>
      </c>
      <c r="AO14" s="81">
        <v>19.2</v>
      </c>
      <c r="AP14">
        <v>43.86</v>
      </c>
      <c r="AQ14" s="81">
        <f t="shared" si="1"/>
        <v>42.993047999999995</v>
      </c>
      <c r="AR14" s="74">
        <f t="shared" si="8"/>
        <v>966.17626666666672</v>
      </c>
      <c r="AS14" s="113">
        <f t="shared" si="9"/>
        <v>24255.231776000001</v>
      </c>
      <c r="AT14" s="110">
        <f t="shared" si="2"/>
        <v>0.45020476234315837</v>
      </c>
      <c r="AU14" s="114">
        <f t="shared" si="3"/>
        <v>8.5303666666666675</v>
      </c>
      <c r="AV14" s="81">
        <f t="shared" si="4"/>
        <v>343.45949999999999</v>
      </c>
      <c r="AW14">
        <v>33.299999999999997</v>
      </c>
      <c r="AX14" s="102">
        <f t="shared" si="10"/>
        <v>28878.710176000001</v>
      </c>
      <c r="AY14" s="29">
        <f t="shared" si="5"/>
        <v>0.53602179404558614</v>
      </c>
      <c r="AZ14" s="102">
        <f t="shared" si="6"/>
        <v>78131.231776000001</v>
      </c>
    </row>
    <row r="15" spans="1:52" x14ac:dyDescent="0.2">
      <c r="A15" s="4" t="s">
        <v>243</v>
      </c>
      <c r="B15" s="4" t="s">
        <v>252</v>
      </c>
      <c r="C15" s="7"/>
      <c r="D15" s="62"/>
      <c r="E15" s="57"/>
      <c r="F15" s="57"/>
      <c r="G15" s="45"/>
      <c r="H15" s="45"/>
      <c r="I15" s="7"/>
      <c r="J15" s="7"/>
      <c r="K15" s="7"/>
      <c r="L15" s="7"/>
      <c r="M15" s="7"/>
      <c r="N15" s="7">
        <f>AF15+AX15</f>
        <v>85127.142083999992</v>
      </c>
      <c r="O15" s="7"/>
      <c r="P15" s="7"/>
      <c r="Q15" s="7"/>
      <c r="R15" s="7"/>
      <c r="S15" s="7"/>
      <c r="T15" s="7"/>
      <c r="U15" s="57"/>
      <c r="V15" s="57">
        <f t="shared" si="7"/>
        <v>85127.142083999992</v>
      </c>
      <c r="W15" s="68">
        <f t="shared" si="0"/>
        <v>85127.142083999992</v>
      </c>
      <c r="X15" s="45"/>
      <c r="Y15" s="7"/>
      <c r="Z15" s="4"/>
      <c r="AA15" s="73">
        <f t="shared" si="13"/>
        <v>2.5152932709607834E-2</v>
      </c>
      <c r="AB15" s="15">
        <f>54578+2400</f>
        <v>56978</v>
      </c>
      <c r="AC15" s="15">
        <f>53180+2400</f>
        <v>55580</v>
      </c>
      <c r="AD15" s="15">
        <v>3</v>
      </c>
      <c r="AE15" s="15">
        <f t="shared" si="11"/>
        <v>1670.895</v>
      </c>
      <c r="AF15" s="15">
        <f>(AC15/12*11)+(AB15/12*1)</f>
        <v>55696.5</v>
      </c>
      <c r="AG15" s="15"/>
      <c r="AH15" s="15"/>
      <c r="AI15" s="74"/>
      <c r="AJ15" s="15">
        <f t="shared" si="12"/>
        <v>57367.394999999997</v>
      </c>
      <c r="AK15" s="74"/>
      <c r="AL15" s="74"/>
      <c r="AM15" s="74" t="s">
        <v>277</v>
      </c>
      <c r="AN15" s="102">
        <v>949.04</v>
      </c>
      <c r="AO15" s="81">
        <v>19.2</v>
      </c>
      <c r="AP15">
        <v>43.86</v>
      </c>
      <c r="AQ15" s="81">
        <f t="shared" si="1"/>
        <v>44.445807000000002</v>
      </c>
      <c r="AR15" s="74">
        <f t="shared" si="8"/>
        <v>998.82389999999998</v>
      </c>
      <c r="AS15" s="113">
        <f t="shared" si="9"/>
        <v>24664.436483999998</v>
      </c>
      <c r="AT15" s="110">
        <f t="shared" si="2"/>
        <v>0.44283638081387516</v>
      </c>
      <c r="AU15" s="114">
        <f t="shared" si="3"/>
        <v>8.8186125000000004</v>
      </c>
      <c r="AV15" s="81">
        <f t="shared" si="4"/>
        <v>355.06518750000004</v>
      </c>
      <c r="AW15">
        <v>33.299999999999997</v>
      </c>
      <c r="AX15" s="102">
        <f t="shared" si="10"/>
        <v>29430.642083999999</v>
      </c>
      <c r="AY15" s="29">
        <f t="shared" si="5"/>
        <v>0.52841097885863564</v>
      </c>
      <c r="AZ15" s="102">
        <f t="shared" si="6"/>
        <v>80360.936484000005</v>
      </c>
    </row>
    <row r="16" spans="1:52" x14ac:dyDescent="0.2">
      <c r="A16" s="4" t="s">
        <v>199</v>
      </c>
      <c r="B16" s="4" t="s">
        <v>253</v>
      </c>
      <c r="C16" s="7"/>
      <c r="D16" s="62"/>
      <c r="E16" s="57"/>
      <c r="F16" s="57"/>
      <c r="G16" s="45"/>
      <c r="H16" s="45"/>
      <c r="I16" s="7"/>
      <c r="J16" s="7"/>
      <c r="K16" s="7"/>
      <c r="L16" s="7"/>
      <c r="M16" s="7"/>
      <c r="N16" s="7"/>
      <c r="O16" s="7">
        <f>AF16+AX16</f>
        <v>108706.54171600001</v>
      </c>
      <c r="P16" s="7"/>
      <c r="Q16" s="7"/>
      <c r="R16" s="7"/>
      <c r="S16" s="7"/>
      <c r="T16" s="7"/>
      <c r="U16" s="57"/>
      <c r="V16" s="57">
        <f t="shared" si="7"/>
        <v>108706.54171600001</v>
      </c>
      <c r="W16" s="68">
        <f t="shared" si="0"/>
        <v>108706.54171600001</v>
      </c>
      <c r="X16" s="45"/>
      <c r="Y16" s="7"/>
      <c r="Z16" s="4" t="s">
        <v>211</v>
      </c>
      <c r="AA16" s="73">
        <f>AB16/AC16-1</f>
        <v>1.9166517715967002E-2</v>
      </c>
      <c r="AB16" s="15">
        <f>72325+1800</f>
        <v>74125</v>
      </c>
      <c r="AC16" s="15">
        <f>70931+1800</f>
        <v>72731</v>
      </c>
      <c r="AD16" s="15">
        <v>1</v>
      </c>
      <c r="AE16" s="15">
        <f t="shared" si="11"/>
        <v>733.11833333333345</v>
      </c>
      <c r="AF16" s="15">
        <f>(AC16/12*7)+(AB16/12*5)</f>
        <v>73311.833333333343</v>
      </c>
      <c r="AG16" s="15"/>
      <c r="AH16" s="15">
        <v>53160</v>
      </c>
      <c r="AI16" s="74">
        <f>AH16/12*5</f>
        <v>22150</v>
      </c>
      <c r="AJ16" s="15">
        <f t="shared" si="12"/>
        <v>74044.951666666675</v>
      </c>
      <c r="AK16" s="74"/>
      <c r="AL16" s="74"/>
      <c r="AM16" s="74" t="s">
        <v>277</v>
      </c>
      <c r="AN16" s="102">
        <v>949.04</v>
      </c>
      <c r="AO16" s="81">
        <v>19.2</v>
      </c>
      <c r="AP16">
        <v>95.82</v>
      </c>
      <c r="AQ16" s="81">
        <f t="shared" si="1"/>
        <v>58.502843000000006</v>
      </c>
      <c r="AR16" s="74">
        <f t="shared" si="8"/>
        <v>1314.7255444444447</v>
      </c>
      <c r="AS16" s="113">
        <f t="shared" si="9"/>
        <v>29247.460649333334</v>
      </c>
      <c r="AT16" s="110">
        <f t="shared" si="2"/>
        <v>0.39894597256013692</v>
      </c>
      <c r="AU16" s="114">
        <f t="shared" si="3"/>
        <v>11.607706944444445</v>
      </c>
      <c r="AV16" s="81">
        <f t="shared" si="4"/>
        <v>467.36293750000004</v>
      </c>
      <c r="AW16">
        <v>33.299999999999997</v>
      </c>
      <c r="AX16" s="102">
        <f t="shared" si="10"/>
        <v>35394.708382666671</v>
      </c>
      <c r="AY16" s="29">
        <f t="shared" si="5"/>
        <v>0.48279666151212514</v>
      </c>
      <c r="AZ16" s="102">
        <f t="shared" si="6"/>
        <v>102559.29398266668</v>
      </c>
    </row>
    <row r="17" spans="1:52" x14ac:dyDescent="0.2">
      <c r="A17" s="4" t="s">
        <v>202</v>
      </c>
      <c r="B17" s="4" t="s">
        <v>254</v>
      </c>
      <c r="C17" s="7"/>
      <c r="D17" s="62"/>
      <c r="E17" s="57"/>
      <c r="F17" s="57"/>
      <c r="G17" s="45"/>
      <c r="H17" s="45"/>
      <c r="I17" s="7"/>
      <c r="J17" s="7"/>
      <c r="K17" s="7"/>
      <c r="L17" s="7"/>
      <c r="M17" s="7"/>
      <c r="N17" s="7"/>
      <c r="O17" s="7">
        <f>AF17+AX17</f>
        <v>73049.977048000001</v>
      </c>
      <c r="P17" s="7"/>
      <c r="Q17" s="7"/>
      <c r="R17" s="7"/>
      <c r="S17" s="7"/>
      <c r="T17" s="7"/>
      <c r="U17" s="57"/>
      <c r="V17" s="57">
        <f t="shared" si="7"/>
        <v>73049.977048000001</v>
      </c>
      <c r="W17" s="68">
        <f t="shared" si="0"/>
        <v>73049.977048000001</v>
      </c>
      <c r="X17" s="45"/>
      <c r="Y17" s="7"/>
      <c r="Z17" s="4" t="s">
        <v>209</v>
      </c>
      <c r="AA17" s="73">
        <f>AB17/AC17-1</f>
        <v>3.7402644448469413E-2</v>
      </c>
      <c r="AB17" s="15">
        <v>45820</v>
      </c>
      <c r="AC17" s="15">
        <v>44168</v>
      </c>
      <c r="AD17" s="15">
        <v>4</v>
      </c>
      <c r="AE17" s="15">
        <f t="shared" si="11"/>
        <v>1794.2533333333331</v>
      </c>
      <c r="AF17" s="15">
        <f>(AC17/12*7)+(AB17/12*5)</f>
        <v>44856.333333333328</v>
      </c>
      <c r="AG17" s="15"/>
      <c r="AH17" s="15">
        <v>42608</v>
      </c>
      <c r="AI17" s="74">
        <f>AH17/12*5</f>
        <v>17753.333333333332</v>
      </c>
      <c r="AJ17" s="15">
        <f t="shared" si="12"/>
        <v>46650.586666666662</v>
      </c>
      <c r="AK17" s="74"/>
      <c r="AL17" s="74"/>
      <c r="AM17" s="74" t="s">
        <v>279</v>
      </c>
      <c r="AN17" s="113">
        <v>1066.3</v>
      </c>
      <c r="AO17" s="81">
        <v>19.2</v>
      </c>
      <c r="AP17">
        <v>97.39</v>
      </c>
      <c r="AQ17" s="81">
        <f t="shared" si="1"/>
        <v>35.795353999999996</v>
      </c>
      <c r="AR17" s="74">
        <f t="shared" si="8"/>
        <v>804.42357777777772</v>
      </c>
      <c r="AS17" s="113">
        <f t="shared" si="9"/>
        <v>24277.307181333334</v>
      </c>
      <c r="AT17" s="110">
        <f t="shared" si="2"/>
        <v>0.54122362166620852</v>
      </c>
      <c r="AU17" s="114">
        <f t="shared" si="3"/>
        <v>7.1022527777777773</v>
      </c>
      <c r="AV17" s="81">
        <f t="shared" si="4"/>
        <v>285.95912499999997</v>
      </c>
      <c r="AW17">
        <v>33.299999999999997</v>
      </c>
      <c r="AX17" s="102">
        <f t="shared" si="10"/>
        <v>28193.643714666665</v>
      </c>
      <c r="AY17" s="29">
        <f t="shared" si="5"/>
        <v>0.6285320626890295</v>
      </c>
      <c r="AZ17" s="102">
        <f t="shared" si="6"/>
        <v>69133.640514666666</v>
      </c>
    </row>
    <row r="18" spans="1:52" x14ac:dyDescent="0.2">
      <c r="A18" s="4" t="s">
        <v>78</v>
      </c>
      <c r="B18" s="4" t="s">
        <v>255</v>
      </c>
      <c r="C18" s="7"/>
      <c r="D18" s="63"/>
      <c r="E18" s="57"/>
      <c r="F18" s="57"/>
      <c r="G18" s="45"/>
      <c r="H18" s="45"/>
      <c r="I18" s="7"/>
      <c r="J18" s="7"/>
      <c r="K18" s="7"/>
      <c r="L18" s="7"/>
      <c r="M18" s="7">
        <f>(AF18+AX18)-T18-G18</f>
        <v>48534.195131700006</v>
      </c>
      <c r="N18" s="7"/>
      <c r="O18" s="7"/>
      <c r="P18" s="7"/>
      <c r="Q18" s="7"/>
      <c r="R18" s="7"/>
      <c r="S18" s="7"/>
      <c r="T18" s="7">
        <f>(AF18+AX18)*0.25</f>
        <v>16178.065043900002</v>
      </c>
      <c r="U18" s="57"/>
      <c r="V18" s="57">
        <f t="shared" si="7"/>
        <v>64712.260175600008</v>
      </c>
      <c r="W18" s="68">
        <f t="shared" si="0"/>
        <v>64712.260175600008</v>
      </c>
      <c r="X18" s="45"/>
      <c r="Y18" s="7"/>
      <c r="Z18" s="4" t="s">
        <v>137</v>
      </c>
      <c r="AA18" s="73">
        <f>AG18/AH18-1</f>
        <v>2.9394169026442762E-2</v>
      </c>
      <c r="AB18" s="15">
        <f>54576+1200+2400</f>
        <v>58176</v>
      </c>
      <c r="AC18" s="15">
        <f>53180+1200+2400</f>
        <v>56780</v>
      </c>
      <c r="AD18" s="15">
        <v>3</v>
      </c>
      <c r="AE18" s="15">
        <f t="shared" si="11"/>
        <v>1200.9305000000002</v>
      </c>
      <c r="AF18" s="15">
        <f>((AC18/24*17)+(AB18/24*7))*0.7</f>
        <v>40031.01666666667</v>
      </c>
      <c r="AG18" s="15">
        <v>51620</v>
      </c>
      <c r="AH18" s="15">
        <v>50146</v>
      </c>
      <c r="AI18" s="74">
        <f>(AH18/24*17+AG18/24*7)*0.8</f>
        <v>40460.733333333337</v>
      </c>
      <c r="AJ18" s="15">
        <f t="shared" si="12"/>
        <v>41231.947166666672</v>
      </c>
      <c r="AK18" s="74"/>
      <c r="AL18" s="74"/>
      <c r="AM18" s="74" t="s">
        <v>277</v>
      </c>
      <c r="AN18" s="113">
        <v>949.04</v>
      </c>
      <c r="AO18" s="81">
        <v>19.2</v>
      </c>
      <c r="AP18">
        <v>43.86</v>
      </c>
      <c r="AQ18" s="81">
        <f t="shared" si="1"/>
        <v>31.944751300000004</v>
      </c>
      <c r="AR18" s="74">
        <f t="shared" si="8"/>
        <v>717.88956555555569</v>
      </c>
      <c r="AS18" s="113">
        <f t="shared" si="9"/>
        <v>21143.211802266669</v>
      </c>
      <c r="AT18" s="110">
        <f t="shared" si="2"/>
        <v>0.52817074265996244</v>
      </c>
      <c r="AU18" s="114">
        <f t="shared" si="3"/>
        <v>6.3382443055555564</v>
      </c>
      <c r="AV18" s="81">
        <f t="shared" si="4"/>
        <v>255.19773125000003</v>
      </c>
      <c r="AW18">
        <v>33.299999999999997</v>
      </c>
      <c r="AX18" s="102">
        <f t="shared" si="10"/>
        <v>24681.243508933338</v>
      </c>
      <c r="AY18" s="29">
        <f t="shared" si="5"/>
        <v>0.61655300224950571</v>
      </c>
      <c r="AZ18" s="102">
        <f t="shared" si="6"/>
        <v>61174.228468933339</v>
      </c>
    </row>
    <row r="19" spans="1:52" x14ac:dyDescent="0.2">
      <c r="A19" s="4" t="s">
        <v>126</v>
      </c>
      <c r="B19" s="4" t="s">
        <v>256</v>
      </c>
      <c r="C19" s="7"/>
      <c r="D19" s="63"/>
      <c r="E19" s="57"/>
      <c r="F19" s="57"/>
      <c r="G19" s="45"/>
      <c r="H19" s="45"/>
      <c r="I19" s="7"/>
      <c r="J19" s="7">
        <f>AF19+AX19-L19-M19-P19-T19</f>
        <v>64474.165039999993</v>
      </c>
      <c r="K19" s="7"/>
      <c r="L19" s="7">
        <f>AI19*0.0125</f>
        <v>498.18333333333339</v>
      </c>
      <c r="M19" s="81">
        <f>AI19*0.0125</f>
        <v>498.18333333333339</v>
      </c>
      <c r="N19" s="81"/>
      <c r="O19" s="7"/>
      <c r="P19" s="22">
        <f>AI19*0.05</f>
        <v>1992.7333333333336</v>
      </c>
      <c r="T19" s="7">
        <f>(AF19+AX19)*0.05</f>
        <v>3550.6981599999999</v>
      </c>
      <c r="U19" s="57"/>
      <c r="V19" s="57">
        <f t="shared" si="7"/>
        <v>71013.963199999998</v>
      </c>
      <c r="W19" s="68">
        <f t="shared" si="0"/>
        <v>71013.963199999998</v>
      </c>
      <c r="X19" s="45"/>
      <c r="Y19" s="7"/>
      <c r="Z19" s="4" t="s">
        <v>135</v>
      </c>
      <c r="AA19" s="73">
        <f>AB19/AC19-1</f>
        <v>3.7277732647350792E-2</v>
      </c>
      <c r="AB19" s="15">
        <f>44168+1800</f>
        <v>45968</v>
      </c>
      <c r="AC19" s="15">
        <f>42516+1800</f>
        <v>44316</v>
      </c>
      <c r="AD19" s="15">
        <v>4</v>
      </c>
      <c r="AE19" s="15">
        <f t="shared" si="11"/>
        <v>1794.6666666666665</v>
      </c>
      <c r="AF19" s="15">
        <f>((AC19/12*8)+(AB19/12*4))</f>
        <v>44866.666666666664</v>
      </c>
      <c r="AG19" s="15">
        <v>40956</v>
      </c>
      <c r="AH19" s="15">
        <v>39304</v>
      </c>
      <c r="AI19" s="15">
        <f>AH19/24*16+AG19/24*8</f>
        <v>39854.666666666672</v>
      </c>
      <c r="AJ19" s="15">
        <f t="shared" si="12"/>
        <v>46661.333333333328</v>
      </c>
      <c r="AK19" s="15"/>
      <c r="AL19" s="15"/>
      <c r="AM19" s="15" t="s">
        <v>277</v>
      </c>
      <c r="AN19" s="113">
        <v>949.04</v>
      </c>
      <c r="AO19" s="81">
        <v>19.2</v>
      </c>
      <c r="AP19">
        <v>43.86</v>
      </c>
      <c r="AQ19" s="81">
        <f t="shared" si="1"/>
        <v>35.803599999999996</v>
      </c>
      <c r="AR19" s="74">
        <f t="shared" si="8"/>
        <v>804.60888888888883</v>
      </c>
      <c r="AS19" s="113">
        <f t="shared" si="9"/>
        <v>22230.149866666667</v>
      </c>
      <c r="AT19" s="110">
        <f t="shared" si="2"/>
        <v>0.49547139375928678</v>
      </c>
      <c r="AU19" s="114">
        <f t="shared" si="3"/>
        <v>7.1038888888888883</v>
      </c>
      <c r="AV19" s="81">
        <f t="shared" si="4"/>
        <v>286.02499999999998</v>
      </c>
      <c r="AW19">
        <v>33.299999999999997</v>
      </c>
      <c r="AX19" s="102">
        <f t="shared" si="10"/>
        <v>26147.296533333338</v>
      </c>
      <c r="AY19" s="29">
        <f t="shared" si="5"/>
        <v>0.58277778306092143</v>
      </c>
      <c r="AZ19" s="102">
        <f t="shared" si="6"/>
        <v>67096.816533333331</v>
      </c>
    </row>
    <row r="20" spans="1:52" x14ac:dyDescent="0.2">
      <c r="A20" t="s">
        <v>208</v>
      </c>
      <c r="B20" s="4" t="s">
        <v>257</v>
      </c>
      <c r="C20" s="7"/>
      <c r="D20" s="63"/>
      <c r="E20" s="57"/>
      <c r="F20" s="57"/>
      <c r="G20" s="45"/>
      <c r="H20" s="45"/>
      <c r="I20" s="7"/>
      <c r="J20" s="7"/>
      <c r="K20" s="7"/>
      <c r="L20" s="7">
        <f>(AF20+AX20)*0.0125</f>
        <v>1175.669648625</v>
      </c>
      <c r="M20" s="7"/>
      <c r="N20" s="7"/>
      <c r="O20" s="7">
        <f>(AF20+AX20)*0.05</f>
        <v>4702.6785945000001</v>
      </c>
      <c r="P20" s="7">
        <f>(AF20+AX20)*0.1</f>
        <v>9405.3571890000003</v>
      </c>
      <c r="Q20" s="7">
        <f>(AF20+AX20)*0.2</f>
        <v>18810.714378000001</v>
      </c>
      <c r="R20" s="7">
        <f>(AF20+AX20)*0.125</f>
        <v>11756.696486249999</v>
      </c>
      <c r="S20" s="7">
        <f>AF20+AX20-L20-O20-P20-Q20-R20-T20</f>
        <v>38797.09840462498</v>
      </c>
      <c r="T20" s="7">
        <f>(AF20+AX20)*0.1</f>
        <v>9405.3571890000003</v>
      </c>
      <c r="U20" s="57"/>
      <c r="V20" s="57">
        <f t="shared" si="7"/>
        <v>94053.571889999977</v>
      </c>
      <c r="W20" s="68">
        <f t="shared" si="0"/>
        <v>94053.571889999992</v>
      </c>
      <c r="X20" s="45"/>
      <c r="Y20" s="7"/>
      <c r="Z20" s="4" t="s">
        <v>212</v>
      </c>
      <c r="AA20" s="73">
        <f>AB20/AC20-1</f>
        <v>2.0108087053897439E-2</v>
      </c>
      <c r="AB20" s="15">
        <f>61056+1800</f>
        <v>62856</v>
      </c>
      <c r="AC20" s="15">
        <f>59817+1800</f>
        <v>61617</v>
      </c>
      <c r="AD20" s="15">
        <v>2</v>
      </c>
      <c r="AE20" s="15">
        <f t="shared" si="11"/>
        <v>1250.925</v>
      </c>
      <c r="AF20" s="15">
        <f>(AC20/12*3)+(AB20/12*9)</f>
        <v>62546.25</v>
      </c>
      <c r="AG20" s="15"/>
      <c r="AH20" s="15">
        <v>60050</v>
      </c>
      <c r="AI20" s="74">
        <f>AH20/24*18</f>
        <v>45037.5</v>
      </c>
      <c r="AJ20" s="15">
        <f t="shared" si="12"/>
        <v>63797.175000000003</v>
      </c>
      <c r="AK20" s="74"/>
      <c r="AL20" s="74"/>
      <c r="AM20" s="74" t="s">
        <v>277</v>
      </c>
      <c r="AN20" s="113">
        <v>949.04</v>
      </c>
      <c r="AO20" s="81">
        <v>19.2</v>
      </c>
      <c r="AP20">
        <v>43.86</v>
      </c>
      <c r="AQ20" s="81">
        <f t="shared" si="1"/>
        <v>49.911907499999991</v>
      </c>
      <c r="AR20" s="74">
        <f t="shared" si="8"/>
        <v>1121.66275</v>
      </c>
      <c r="AS20" s="113">
        <f t="shared" si="9"/>
        <v>26204.095889999997</v>
      </c>
      <c r="AT20" s="110">
        <f t="shared" si="2"/>
        <v>0.41895550716469809</v>
      </c>
      <c r="AU20" s="114">
        <f t="shared" si="3"/>
        <v>9.9031562500000003</v>
      </c>
      <c r="AV20" s="81">
        <f t="shared" si="4"/>
        <v>398.73234374999998</v>
      </c>
      <c r="AW20">
        <v>33.299999999999997</v>
      </c>
      <c r="AX20" s="102">
        <f t="shared" si="10"/>
        <v>31507.321889999999</v>
      </c>
      <c r="AY20" s="29">
        <f t="shared" si="5"/>
        <v>0.50374437939924455</v>
      </c>
      <c r="AZ20" s="102">
        <f t="shared" si="6"/>
        <v>88750.345889999997</v>
      </c>
    </row>
    <row r="21" spans="1:52" x14ac:dyDescent="0.2">
      <c r="A21" s="4"/>
      <c r="B21" s="4"/>
      <c r="C21" s="7"/>
      <c r="D21" s="63"/>
      <c r="E21" s="57"/>
      <c r="F21" s="57"/>
      <c r="G21" s="45"/>
      <c r="H21" s="4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57"/>
      <c r="V21" s="57"/>
      <c r="W21" s="68"/>
      <c r="X21" s="45"/>
      <c r="Y21" s="7"/>
      <c r="Z21" s="4"/>
      <c r="AA21" s="73"/>
      <c r="AB21" s="15"/>
      <c r="AC21" s="15"/>
      <c r="AD21" s="15"/>
      <c r="AE21" s="15"/>
      <c r="AF21" s="15"/>
      <c r="AG21" s="15"/>
      <c r="AH21" s="15"/>
      <c r="AI21" s="74"/>
      <c r="AJ21" s="15"/>
      <c r="AK21" s="74"/>
      <c r="AL21" s="74"/>
      <c r="AM21" s="74"/>
      <c r="AN21" s="113"/>
      <c r="AO21" s="81"/>
      <c r="AQ21" s="81"/>
      <c r="AR21" s="74"/>
      <c r="AS21" s="113"/>
      <c r="AT21" s="110"/>
      <c r="AU21" s="114"/>
      <c r="AV21" s="81"/>
      <c r="AX21" s="102"/>
      <c r="AY21" s="29"/>
      <c r="AZ21" s="102"/>
    </row>
    <row r="22" spans="1:52" x14ac:dyDescent="0.2">
      <c r="A22" s="4" t="s">
        <v>237</v>
      </c>
      <c r="B22" s="4" t="s">
        <v>258</v>
      </c>
      <c r="C22" s="7"/>
      <c r="D22" s="62"/>
      <c r="E22" s="57"/>
      <c r="F22" s="57"/>
      <c r="G22" s="45"/>
      <c r="H22" s="45"/>
      <c r="I22" s="7"/>
      <c r="J22" s="7"/>
      <c r="K22" s="7"/>
      <c r="L22" s="7"/>
      <c r="M22" s="7"/>
      <c r="N22" s="7"/>
      <c r="O22" s="7"/>
      <c r="P22" s="7">
        <f>AF22+AX22-R22</f>
        <v>85572.896970750007</v>
      </c>
      <c r="Q22" s="7"/>
      <c r="R22" s="7">
        <f>(AF22+AX22)*0.125</f>
        <v>12224.699567250002</v>
      </c>
      <c r="S22" s="7"/>
      <c r="T22" s="7"/>
      <c r="U22" s="57"/>
      <c r="V22" s="57">
        <f t="shared" si="7"/>
        <v>97797.596538000013</v>
      </c>
      <c r="W22" s="68">
        <f t="shared" ref="W22:W29" si="14">AF22+AX22</f>
        <v>97797.596538000013</v>
      </c>
      <c r="X22" s="45"/>
      <c r="Y22" s="7"/>
      <c r="Z22" s="4" t="s">
        <v>134</v>
      </c>
      <c r="AA22" s="73">
        <f>AB22/AC22-1</f>
        <v>2.2871447229305231E-2</v>
      </c>
      <c r="AB22" s="15">
        <f>63987+1800</f>
        <v>65787</v>
      </c>
      <c r="AC22" s="15">
        <f>62516+1800</f>
        <v>64316</v>
      </c>
      <c r="AD22" s="15">
        <v>2</v>
      </c>
      <c r="AE22" s="15">
        <f t="shared" si="11"/>
        <v>1308.385</v>
      </c>
      <c r="AF22" s="15">
        <f>(AC22/12*3)+(AB22/12*9)</f>
        <v>65419.25</v>
      </c>
      <c r="AG22" s="15">
        <v>72925</v>
      </c>
      <c r="AH22" s="15">
        <v>71531</v>
      </c>
      <c r="AI22" s="74">
        <f>(AG22/12*3)+(AH22/12*9)</f>
        <v>71879.5</v>
      </c>
      <c r="AJ22" s="15">
        <f t="shared" si="12"/>
        <v>66727.634999999995</v>
      </c>
      <c r="AK22" s="74"/>
      <c r="AL22" s="74"/>
      <c r="AM22" s="74" t="s">
        <v>277</v>
      </c>
      <c r="AN22" s="113">
        <v>949.04</v>
      </c>
      <c r="AO22" s="81">
        <v>19.2</v>
      </c>
      <c r="AP22">
        <v>43.86</v>
      </c>
      <c r="AQ22" s="81">
        <f t="shared" ref="AQ22:AQ29" si="15">AF22*0.009576/12</f>
        <v>52.204561500000004</v>
      </c>
      <c r="AR22" s="74">
        <f t="shared" si="8"/>
        <v>1173.1852166666667</v>
      </c>
      <c r="AS22" s="113">
        <f t="shared" si="9"/>
        <v>26849.877338000002</v>
      </c>
      <c r="AT22" s="110">
        <f t="shared" ref="AT22:AT29" si="16">AS22/AF22</f>
        <v>0.41042777680881393</v>
      </c>
      <c r="AU22" s="114">
        <f t="shared" ref="AU22:AU29" si="17">(AF22*0.19/100)/12</f>
        <v>10.358047916666665</v>
      </c>
      <c r="AV22" s="81">
        <f t="shared" ref="AV22:AV29" si="18">AF22*0.0765/12</f>
        <v>417.04771875</v>
      </c>
      <c r="AW22">
        <v>33.299999999999997</v>
      </c>
      <c r="AX22" s="102">
        <f t="shared" si="10"/>
        <v>32378.346538000005</v>
      </c>
      <c r="AY22" s="29">
        <f t="shared" ref="AY22:AY29" si="19">AX22/AF22</f>
        <v>0.49493607062141504</v>
      </c>
      <c r="AZ22" s="102">
        <f t="shared" ref="AZ22:AZ29" si="20">AF22+AS22</f>
        <v>92269.127338000006</v>
      </c>
    </row>
    <row r="23" spans="1:52" x14ac:dyDescent="0.2">
      <c r="A23" s="4" t="s">
        <v>136</v>
      </c>
      <c r="B23" s="4" t="s">
        <v>259</v>
      </c>
      <c r="C23" s="7"/>
      <c r="D23" s="63"/>
      <c r="E23" s="57"/>
      <c r="F23" s="57"/>
      <c r="G23" s="45"/>
      <c r="H23" s="45"/>
      <c r="I23" s="7"/>
      <c r="J23" s="7"/>
      <c r="K23" s="7"/>
      <c r="L23" s="7"/>
      <c r="P23" s="7">
        <f>AF23+AX23-R23</f>
        <v>73023.998468750011</v>
      </c>
      <c r="Q23" s="7"/>
      <c r="R23" s="7">
        <f>(AF23+AX23)*0.125</f>
        <v>10431.999781250001</v>
      </c>
      <c r="T23" s="7"/>
      <c r="U23" s="57"/>
      <c r="V23" s="57">
        <f t="shared" si="7"/>
        <v>83455.998250000004</v>
      </c>
      <c r="W23" s="68">
        <f t="shared" si="14"/>
        <v>83455.998250000004</v>
      </c>
      <c r="X23" s="45"/>
      <c r="Y23" s="7"/>
      <c r="Z23" s="4" t="s">
        <v>134</v>
      </c>
      <c r="AA23" s="73">
        <f>AB23/AC23-1</f>
        <v>3.0334900602161152E-2</v>
      </c>
      <c r="AB23" s="15">
        <f>48763+1200</f>
        <v>49963</v>
      </c>
      <c r="AC23" s="15">
        <f>47292+1200</f>
        <v>48492</v>
      </c>
      <c r="AD23" s="15">
        <v>4</v>
      </c>
      <c r="AE23" s="15">
        <f t="shared" si="11"/>
        <v>1944.5833333333335</v>
      </c>
      <c r="AF23" s="15">
        <f>(AC23/12*11)+(AB23/12*1)</f>
        <v>48614.583333333336</v>
      </c>
      <c r="AG23" s="15">
        <v>43808</v>
      </c>
      <c r="AH23" s="15">
        <v>42156</v>
      </c>
      <c r="AI23" s="15">
        <f>AH23/24*19+AG23/24*5</f>
        <v>42500.166666666664</v>
      </c>
      <c r="AJ23" s="15">
        <f t="shared" si="12"/>
        <v>50559.166666666672</v>
      </c>
      <c r="AK23" s="15"/>
      <c r="AL23" s="15"/>
      <c r="AM23" s="15" t="s">
        <v>280</v>
      </c>
      <c r="AN23" s="102">
        <v>1526.9</v>
      </c>
      <c r="AO23" s="81">
        <v>19.2</v>
      </c>
      <c r="AP23">
        <v>95.82</v>
      </c>
      <c r="AQ23" s="81">
        <f t="shared" si="15"/>
        <v>38.794437500000001</v>
      </c>
      <c r="AR23" s="74">
        <f t="shared" si="8"/>
        <v>871.82152777777776</v>
      </c>
      <c r="AS23" s="113">
        <f t="shared" si="9"/>
        <v>30630.431583333335</v>
      </c>
      <c r="AT23" s="110">
        <f t="shared" si="16"/>
        <v>0.63006673066209562</v>
      </c>
      <c r="AU23" s="114">
        <f t="shared" si="17"/>
        <v>7.697309027777778</v>
      </c>
      <c r="AV23" s="81">
        <f t="shared" si="18"/>
        <v>309.91796875</v>
      </c>
      <c r="AW23">
        <v>33.299999999999997</v>
      </c>
      <c r="AX23" s="102">
        <f t="shared" si="10"/>
        <v>34841.414916666676</v>
      </c>
      <c r="AY23" s="29">
        <f t="shared" si="19"/>
        <v>0.71668648639382915</v>
      </c>
      <c r="AZ23" s="102">
        <f t="shared" si="20"/>
        <v>79245.014916666667</v>
      </c>
    </row>
    <row r="24" spans="1:52" x14ac:dyDescent="0.2">
      <c r="A24" s="4" t="s">
        <v>203</v>
      </c>
      <c r="B24" s="4" t="s">
        <v>260</v>
      </c>
      <c r="C24" s="7"/>
      <c r="D24" s="63"/>
      <c r="E24" s="57"/>
      <c r="F24" s="63"/>
      <c r="G24" s="45"/>
      <c r="H24" s="45"/>
      <c r="I24" s="7"/>
      <c r="J24" s="7"/>
      <c r="K24" s="7"/>
      <c r="L24" s="7"/>
      <c r="P24" s="7"/>
      <c r="Q24" s="7">
        <f t="shared" ref="Q24:Q30" si="21">AF24+AX24</f>
        <v>110620.77049200001</v>
      </c>
      <c r="R24" s="7"/>
      <c r="T24" s="7"/>
      <c r="U24" s="57"/>
      <c r="V24" s="57">
        <f t="shared" si="7"/>
        <v>110620.77049200001</v>
      </c>
      <c r="W24" s="68">
        <f t="shared" si="14"/>
        <v>110620.77049200001</v>
      </c>
      <c r="X24" s="45"/>
      <c r="Y24" s="7"/>
      <c r="Z24" s="4" t="s">
        <v>213</v>
      </c>
      <c r="AA24" s="73">
        <f t="shared" ref="AA24:AA29" si="22">AB24/AC24-1</f>
        <v>1.9166517715967002E-2</v>
      </c>
      <c r="AB24" s="15">
        <f>72325+1800</f>
        <v>74125</v>
      </c>
      <c r="AC24" s="15">
        <f>70931+1800</f>
        <v>72731</v>
      </c>
      <c r="AD24" s="15">
        <v>1</v>
      </c>
      <c r="AE24" s="15">
        <f t="shared" si="11"/>
        <v>730.79499999999996</v>
      </c>
      <c r="AF24" s="15">
        <f>(AC24/12*9)+(AB24/12*3)</f>
        <v>73079.5</v>
      </c>
      <c r="AG24" s="15"/>
      <c r="AH24" s="15">
        <f>51960+1200</f>
        <v>53160</v>
      </c>
      <c r="AI24" s="15">
        <f>AH24/12*4</f>
        <v>17720</v>
      </c>
      <c r="AJ24" s="15">
        <f t="shared" si="12"/>
        <v>73810.294999999998</v>
      </c>
      <c r="AK24" s="15"/>
      <c r="AL24" s="15"/>
      <c r="AM24" s="15" t="s">
        <v>281</v>
      </c>
      <c r="AN24" s="102">
        <v>1132.22</v>
      </c>
      <c r="AO24" s="81">
        <v>19.2</v>
      </c>
      <c r="AP24">
        <v>97.39</v>
      </c>
      <c r="AQ24" s="81">
        <f t="shared" si="15"/>
        <v>58.317440999999995</v>
      </c>
      <c r="AR24" s="74">
        <f t="shared" si="8"/>
        <v>1310.5590333333332</v>
      </c>
      <c r="AS24" s="113">
        <f t="shared" si="9"/>
        <v>31412.237692000002</v>
      </c>
      <c r="AT24" s="110">
        <f t="shared" si="16"/>
        <v>0.42983651628705727</v>
      </c>
      <c r="AU24" s="114">
        <f t="shared" si="17"/>
        <v>11.570920833333332</v>
      </c>
      <c r="AV24" s="81">
        <f t="shared" si="18"/>
        <v>465.88181250000002</v>
      </c>
      <c r="AW24">
        <v>33.299999999999997</v>
      </c>
      <c r="AX24" s="102">
        <f t="shared" si="10"/>
        <v>37541.270492000011</v>
      </c>
      <c r="AY24" s="29">
        <f t="shared" si="19"/>
        <v>0.51370453399380145</v>
      </c>
      <c r="AZ24" s="102">
        <f t="shared" si="20"/>
        <v>104491.737692</v>
      </c>
    </row>
    <row r="25" spans="1:52" x14ac:dyDescent="0.2">
      <c r="A25" s="4" t="s">
        <v>207</v>
      </c>
      <c r="B25" s="4" t="s">
        <v>261</v>
      </c>
      <c r="C25" s="7"/>
      <c r="D25" s="63"/>
      <c r="E25" s="57"/>
      <c r="F25" s="63"/>
      <c r="G25" s="45"/>
      <c r="H25" s="45"/>
      <c r="I25" s="7"/>
      <c r="J25" s="7"/>
      <c r="K25" s="7"/>
      <c r="L25" s="7"/>
      <c r="P25" s="7"/>
      <c r="Q25" s="7">
        <f t="shared" si="21"/>
        <v>88732.378488000017</v>
      </c>
      <c r="R25" s="7"/>
      <c r="T25" s="7"/>
      <c r="U25" s="57"/>
      <c r="V25" s="57">
        <f t="shared" si="7"/>
        <v>88732.378488000017</v>
      </c>
      <c r="W25" s="68">
        <f t="shared" si="14"/>
        <v>88732.378488000017</v>
      </c>
      <c r="X25" s="45"/>
      <c r="Y25" s="7"/>
      <c r="Z25" s="4" t="s">
        <v>213</v>
      </c>
      <c r="AA25" s="73">
        <f t="shared" si="22"/>
        <v>0</v>
      </c>
      <c r="AB25" s="15">
        <f>56663+1800</f>
        <v>58463</v>
      </c>
      <c r="AC25" s="15">
        <f>56663+1800</f>
        <v>58463</v>
      </c>
      <c r="AD25" s="15">
        <v>3</v>
      </c>
      <c r="AE25" s="15">
        <f t="shared" si="11"/>
        <v>1753.89</v>
      </c>
      <c r="AF25" s="15">
        <f>(AC25/12*12)</f>
        <v>58463</v>
      </c>
      <c r="AG25" s="15"/>
      <c r="AH25" s="15">
        <f>51960+1200</f>
        <v>53160</v>
      </c>
      <c r="AI25" s="15">
        <f>AH25/12*4</f>
        <v>17720</v>
      </c>
      <c r="AJ25" s="15">
        <f t="shared" si="12"/>
        <v>60216.89</v>
      </c>
      <c r="AK25" s="15"/>
      <c r="AL25" s="15"/>
      <c r="AM25" s="15" t="s">
        <v>277</v>
      </c>
      <c r="AN25" s="102">
        <v>949.04</v>
      </c>
      <c r="AO25" s="81">
        <v>19.2</v>
      </c>
      <c r="AP25">
        <v>43.86</v>
      </c>
      <c r="AQ25" s="81">
        <f t="shared" si="15"/>
        <v>46.653473999999996</v>
      </c>
      <c r="AR25" s="74">
        <f t="shared" si="8"/>
        <v>1048.4364666666668</v>
      </c>
      <c r="AS25" s="113">
        <f t="shared" si="9"/>
        <v>25286.279288000005</v>
      </c>
      <c r="AT25" s="110">
        <f t="shared" si="16"/>
        <v>0.43251764856404917</v>
      </c>
      <c r="AU25" s="114">
        <f t="shared" si="17"/>
        <v>9.2566416666666651</v>
      </c>
      <c r="AV25" s="81">
        <f t="shared" si="18"/>
        <v>372.70162499999998</v>
      </c>
      <c r="AW25">
        <v>33.299999999999997</v>
      </c>
      <c r="AX25" s="102">
        <f t="shared" si="10"/>
        <v>30269.378488000009</v>
      </c>
      <c r="AY25" s="29">
        <f t="shared" si="19"/>
        <v>0.51775274084463696</v>
      </c>
      <c r="AZ25" s="102">
        <f t="shared" si="20"/>
        <v>83749.279288000005</v>
      </c>
    </row>
    <row r="26" spans="1:52" x14ac:dyDescent="0.2">
      <c r="A26" s="4" t="s">
        <v>236</v>
      </c>
      <c r="B26" s="4" t="s">
        <v>262</v>
      </c>
      <c r="C26" s="7"/>
      <c r="D26" s="63"/>
      <c r="E26" s="57"/>
      <c r="F26" s="63"/>
      <c r="G26" s="45"/>
      <c r="H26" s="45"/>
      <c r="I26" s="7"/>
      <c r="J26" s="7"/>
      <c r="K26" s="7"/>
      <c r="L26" s="7"/>
      <c r="P26" s="7"/>
      <c r="Q26" s="7">
        <f t="shared" si="21"/>
        <v>87413.463738000006</v>
      </c>
      <c r="R26" s="7"/>
      <c r="T26" s="7"/>
      <c r="U26" s="57"/>
      <c r="V26" s="57">
        <f t="shared" si="7"/>
        <v>87413.463738000006</v>
      </c>
      <c r="W26" s="68">
        <f t="shared" si="14"/>
        <v>87413.463738000006</v>
      </c>
      <c r="X26" s="45"/>
      <c r="Y26" s="7"/>
      <c r="Z26" s="4" t="s">
        <v>214</v>
      </c>
      <c r="AA26" s="73">
        <f t="shared" si="22"/>
        <v>2.2918084864987476E-2</v>
      </c>
      <c r="AB26" s="15">
        <v>58604</v>
      </c>
      <c r="AC26" s="15">
        <v>57291</v>
      </c>
      <c r="AD26" s="15">
        <v>3</v>
      </c>
      <c r="AE26" s="15">
        <f t="shared" si="11"/>
        <v>1728.5775000000001</v>
      </c>
      <c r="AF26" s="15">
        <f>(AC26/12*9)+(AB26/12*3)</f>
        <v>57619.25</v>
      </c>
      <c r="AG26" s="15"/>
      <c r="AH26" s="15">
        <v>48675</v>
      </c>
      <c r="AI26" s="15">
        <f>AH26/12*5</f>
        <v>20281.25</v>
      </c>
      <c r="AJ26" s="15">
        <f t="shared" si="12"/>
        <v>59347.827499999999</v>
      </c>
      <c r="AK26" s="15"/>
      <c r="AL26" s="15"/>
      <c r="AM26" s="15" t="s">
        <v>274</v>
      </c>
      <c r="AN26" s="102">
        <v>930.76</v>
      </c>
      <c r="AO26" s="81">
        <v>19.2</v>
      </c>
      <c r="AP26">
        <v>43.86</v>
      </c>
      <c r="AQ26" s="81">
        <f t="shared" si="15"/>
        <v>45.980161500000001</v>
      </c>
      <c r="AR26" s="74">
        <f t="shared" si="8"/>
        <v>1033.3052166666666</v>
      </c>
      <c r="AS26" s="113">
        <f t="shared" si="9"/>
        <v>24877.264538000003</v>
      </c>
      <c r="AT26" s="110">
        <f t="shared" si="16"/>
        <v>0.4317526614456107</v>
      </c>
      <c r="AU26" s="114">
        <f t="shared" si="17"/>
        <v>9.1230479166666658</v>
      </c>
      <c r="AV26" s="81">
        <f t="shared" si="18"/>
        <v>367.32271874999998</v>
      </c>
      <c r="AW26">
        <v>33.299999999999997</v>
      </c>
      <c r="AX26" s="102">
        <f t="shared" si="10"/>
        <v>29794.213738000006</v>
      </c>
      <c r="AY26" s="29">
        <f t="shared" si="19"/>
        <v>0.5170878436980697</v>
      </c>
      <c r="AZ26" s="102">
        <f t="shared" si="20"/>
        <v>82496.514538000003</v>
      </c>
    </row>
    <row r="27" spans="1:52" x14ac:dyDescent="0.2">
      <c r="A27" s="4" t="s">
        <v>235</v>
      </c>
      <c r="B27" s="4" t="s">
        <v>263</v>
      </c>
      <c r="C27" s="7"/>
      <c r="D27" s="63"/>
      <c r="E27" s="57"/>
      <c r="F27" s="63"/>
      <c r="G27" s="45"/>
      <c r="H27" s="45"/>
      <c r="I27" s="7"/>
      <c r="J27" s="7"/>
      <c r="K27" s="7"/>
      <c r="L27" s="7"/>
      <c r="P27" s="7"/>
      <c r="Q27" s="7">
        <f t="shared" si="21"/>
        <v>64612.336255999995</v>
      </c>
      <c r="R27" s="7"/>
      <c r="T27" s="7"/>
      <c r="U27" s="57"/>
      <c r="V27" s="57">
        <f t="shared" si="7"/>
        <v>64612.336255999995</v>
      </c>
      <c r="W27" s="68">
        <f t="shared" si="14"/>
        <v>64612.336255999995</v>
      </c>
      <c r="X27" s="45"/>
      <c r="Y27" s="7"/>
      <c r="Z27" s="4" t="s">
        <v>197</v>
      </c>
      <c r="AA27" s="73">
        <f t="shared" si="22"/>
        <v>4.1746689578489926E-2</v>
      </c>
      <c r="AB27" s="15">
        <v>41224</v>
      </c>
      <c r="AC27" s="15">
        <v>39572</v>
      </c>
      <c r="AD27" s="15">
        <v>5</v>
      </c>
      <c r="AE27" s="15">
        <f t="shared" si="11"/>
        <v>2006.1333333333332</v>
      </c>
      <c r="AF27" s="15">
        <f>(AC27/12*8)+(AB27/12*4)</f>
        <v>40122.666666666664</v>
      </c>
      <c r="AG27" s="15"/>
      <c r="AH27" s="15">
        <v>44260</v>
      </c>
      <c r="AI27" s="15">
        <f>AH27/12*5</f>
        <v>18441.666666666668</v>
      </c>
      <c r="AJ27" s="15">
        <f t="shared" si="12"/>
        <v>42128.799999999996</v>
      </c>
      <c r="AK27" s="15"/>
      <c r="AL27" s="15"/>
      <c r="AM27" s="15" t="s">
        <v>274</v>
      </c>
      <c r="AN27" s="102">
        <v>930.76</v>
      </c>
      <c r="AO27" s="81">
        <v>19.2</v>
      </c>
      <c r="AP27">
        <v>43.86</v>
      </c>
      <c r="AQ27" s="81">
        <f t="shared" si="15"/>
        <v>32.017887999999992</v>
      </c>
      <c r="AR27" s="74">
        <f t="shared" si="8"/>
        <v>719.53315555555548</v>
      </c>
      <c r="AS27" s="113">
        <f t="shared" si="9"/>
        <v>20944.452522666666</v>
      </c>
      <c r="AT27" s="110">
        <f t="shared" si="16"/>
        <v>0.52201048092516289</v>
      </c>
      <c r="AU27" s="114">
        <f t="shared" si="17"/>
        <v>6.3527555555555546</v>
      </c>
      <c r="AV27" s="81">
        <f t="shared" si="18"/>
        <v>255.78199999999995</v>
      </c>
      <c r="AW27">
        <v>33.299999999999997</v>
      </c>
      <c r="AX27" s="102">
        <f t="shared" si="10"/>
        <v>24489.669589333331</v>
      </c>
      <c r="AY27" s="29">
        <f t="shared" si="19"/>
        <v>0.61036993858832911</v>
      </c>
      <c r="AZ27" s="102">
        <f t="shared" si="20"/>
        <v>61067.119189333331</v>
      </c>
    </row>
    <row r="28" spans="1:52" x14ac:dyDescent="0.2">
      <c r="A28" s="4" t="s">
        <v>239</v>
      </c>
      <c r="B28" s="4" t="s">
        <v>264</v>
      </c>
      <c r="C28" s="7"/>
      <c r="D28" s="63"/>
      <c r="E28" s="57"/>
      <c r="F28" s="63"/>
      <c r="G28" s="45"/>
      <c r="H28" s="45"/>
      <c r="I28" s="7"/>
      <c r="J28" s="7"/>
      <c r="K28" s="7"/>
      <c r="L28" s="7"/>
      <c r="P28" s="7"/>
      <c r="Q28" s="7">
        <f t="shared" si="21"/>
        <v>68448.886400000003</v>
      </c>
      <c r="R28" s="7"/>
      <c r="T28" s="7"/>
      <c r="U28" s="57"/>
      <c r="V28" s="57">
        <f t="shared" si="7"/>
        <v>68448.886400000003</v>
      </c>
      <c r="W28" s="68">
        <f t="shared" si="14"/>
        <v>68448.886400000003</v>
      </c>
      <c r="X28" s="45"/>
      <c r="Y28" s="7"/>
      <c r="Z28" s="4"/>
      <c r="AA28" s="73">
        <f t="shared" si="22"/>
        <v>3.885596010913539E-2</v>
      </c>
      <c r="AB28" s="15">
        <v>44168</v>
      </c>
      <c r="AC28" s="15">
        <v>42516</v>
      </c>
      <c r="AD28" s="15">
        <v>4</v>
      </c>
      <c r="AE28" s="15">
        <f t="shared" si="11"/>
        <v>1722.6666666666665</v>
      </c>
      <c r="AF28" s="15">
        <f>(AC28/12*8)+(AB28/12*4)</f>
        <v>43066.666666666664</v>
      </c>
      <c r="AG28" s="15"/>
      <c r="AH28" s="15"/>
      <c r="AI28" s="15"/>
      <c r="AJ28" s="15">
        <f t="shared" si="12"/>
        <v>44789.333333333328</v>
      </c>
      <c r="AK28" s="15"/>
      <c r="AL28" s="15"/>
      <c r="AM28" s="15" t="s">
        <v>274</v>
      </c>
      <c r="AN28" s="102">
        <v>930.76</v>
      </c>
      <c r="AO28" s="81">
        <v>19.2</v>
      </c>
      <c r="AP28">
        <v>43.86</v>
      </c>
      <c r="AQ28" s="81">
        <f t="shared" si="15"/>
        <v>34.367199999999997</v>
      </c>
      <c r="AR28" s="74">
        <f t="shared" si="8"/>
        <v>772.32888888888886</v>
      </c>
      <c r="AS28" s="113">
        <f t="shared" si="9"/>
        <v>21606.193066666667</v>
      </c>
      <c r="AT28" s="110">
        <f t="shared" si="16"/>
        <v>0.5016917894736842</v>
      </c>
      <c r="AU28" s="114">
        <f t="shared" si="17"/>
        <v>6.8188888888888881</v>
      </c>
      <c r="AV28" s="81">
        <f t="shared" si="18"/>
        <v>274.55</v>
      </c>
      <c r="AW28">
        <v>33.299999999999997</v>
      </c>
      <c r="AX28" s="102">
        <f t="shared" si="10"/>
        <v>25382.219733333339</v>
      </c>
      <c r="AY28" s="29">
        <f t="shared" si="19"/>
        <v>0.58937042724458222</v>
      </c>
      <c r="AZ28" s="102">
        <f t="shared" si="20"/>
        <v>64672.859733333331</v>
      </c>
    </row>
    <row r="29" spans="1:52" x14ac:dyDescent="0.2">
      <c r="A29" s="4" t="s">
        <v>244</v>
      </c>
      <c r="B29" s="4" t="s">
        <v>265</v>
      </c>
      <c r="C29" s="7"/>
      <c r="D29" s="63"/>
      <c r="E29" s="57"/>
      <c r="F29" s="63"/>
      <c r="G29" s="95"/>
      <c r="H29" s="95"/>
      <c r="I29" s="94"/>
      <c r="J29" s="94"/>
      <c r="K29" s="94"/>
      <c r="L29" s="94"/>
      <c r="P29" s="7"/>
      <c r="Q29" s="7">
        <f t="shared" si="21"/>
        <v>68448.886400000003</v>
      </c>
      <c r="R29" s="7"/>
      <c r="T29" s="7"/>
      <c r="U29" s="57"/>
      <c r="V29" s="57">
        <f>G29+H29+I29+J29+K29+L29+M29+O29+P29+Q29+S29+T29+U29</f>
        <v>68448.886400000003</v>
      </c>
      <c r="W29" s="68">
        <f t="shared" si="14"/>
        <v>68448.886400000003</v>
      </c>
      <c r="X29" s="45"/>
      <c r="Y29" s="7"/>
      <c r="Z29" s="4" t="s">
        <v>215</v>
      </c>
      <c r="AA29" s="73">
        <f t="shared" si="22"/>
        <v>3.885596010913539E-2</v>
      </c>
      <c r="AB29" s="15">
        <v>44168</v>
      </c>
      <c r="AC29" s="15">
        <v>42516</v>
      </c>
      <c r="AD29" s="15">
        <v>4</v>
      </c>
      <c r="AE29" s="15">
        <f t="shared" si="11"/>
        <v>1722.6666666666665</v>
      </c>
      <c r="AF29" s="15">
        <f>(AC29/12*8)+(AB29/12*4)</f>
        <v>43066.666666666664</v>
      </c>
      <c r="AG29" s="15"/>
      <c r="AH29" s="15">
        <v>40956</v>
      </c>
      <c r="AI29" s="15">
        <f>AH29/12*5</f>
        <v>17065</v>
      </c>
      <c r="AJ29" s="15">
        <f t="shared" si="12"/>
        <v>44789.333333333328</v>
      </c>
      <c r="AK29" s="15"/>
      <c r="AL29" s="15"/>
      <c r="AM29" s="15" t="s">
        <v>274</v>
      </c>
      <c r="AN29" s="102">
        <v>930.76</v>
      </c>
      <c r="AO29" s="81">
        <v>19.2</v>
      </c>
      <c r="AP29">
        <v>43.86</v>
      </c>
      <c r="AQ29" s="81">
        <f t="shared" si="15"/>
        <v>34.367199999999997</v>
      </c>
      <c r="AR29" s="74">
        <f t="shared" si="8"/>
        <v>772.32888888888886</v>
      </c>
      <c r="AS29" s="113">
        <f t="shared" si="9"/>
        <v>21606.193066666667</v>
      </c>
      <c r="AT29" s="110">
        <f t="shared" si="16"/>
        <v>0.5016917894736842</v>
      </c>
      <c r="AU29" s="114">
        <f t="shared" si="17"/>
        <v>6.8188888888888881</v>
      </c>
      <c r="AV29" s="81">
        <f t="shared" si="18"/>
        <v>274.55</v>
      </c>
      <c r="AW29">
        <v>33.299999999999997</v>
      </c>
      <c r="AX29" s="102">
        <f t="shared" si="10"/>
        <v>25382.219733333339</v>
      </c>
      <c r="AY29" s="29">
        <f t="shared" si="19"/>
        <v>0.58937042724458222</v>
      </c>
      <c r="AZ29" s="102">
        <f t="shared" si="20"/>
        <v>64672.859733333331</v>
      </c>
    </row>
    <row r="30" spans="1:52" x14ac:dyDescent="0.2">
      <c r="A30" s="4" t="s">
        <v>357</v>
      </c>
      <c r="B30" s="4"/>
      <c r="C30" s="7"/>
      <c r="D30" s="63"/>
      <c r="E30" s="57"/>
      <c r="F30" s="63"/>
      <c r="G30" s="95"/>
      <c r="H30" s="95"/>
      <c r="I30" s="94"/>
      <c r="J30" s="94"/>
      <c r="K30" s="94"/>
      <c r="L30" s="94"/>
      <c r="P30" s="7"/>
      <c r="Q30" s="7">
        <f t="shared" si="21"/>
        <v>23889.740160000001</v>
      </c>
      <c r="R30" s="7"/>
      <c r="T30" s="7"/>
      <c r="U30" s="57"/>
      <c r="V30" s="57">
        <f>G30+H30+I30+J30+K30+L30+M30+O30+P30+Q30+S30+T30+U30</f>
        <v>23889.740160000001</v>
      </c>
      <c r="W30" s="68">
        <f t="shared" ref="W30" si="23">AF30+AX30</f>
        <v>23889.740160000001</v>
      </c>
      <c r="X30" s="45"/>
      <c r="Y30" s="7"/>
      <c r="Z30" s="4"/>
      <c r="AA30" s="73"/>
      <c r="AB30" s="15"/>
      <c r="AC30" s="15">
        <f>(21.44+1.25)*20*48</f>
        <v>21782.400000000001</v>
      </c>
      <c r="AD30" s="100"/>
      <c r="AE30" s="15"/>
      <c r="AF30" s="15">
        <f>AC30</f>
        <v>21782.400000000001</v>
      </c>
      <c r="AG30" s="15"/>
      <c r="AH30" s="15"/>
      <c r="AI30" s="15"/>
      <c r="AJ30" s="15"/>
      <c r="AK30" s="15"/>
      <c r="AL30" s="15"/>
      <c r="AM30" s="15"/>
      <c r="AN30" s="102"/>
      <c r="AO30" s="81"/>
      <c r="AQ30" s="81"/>
      <c r="AR30" s="74"/>
      <c r="AS30" s="113"/>
      <c r="AT30" s="110"/>
      <c r="AU30" s="114">
        <f t="shared" ref="AU30" si="24">(AF30*0.19/100)/12</f>
        <v>3.4488800000000004</v>
      </c>
      <c r="AV30" s="81">
        <f t="shared" ref="AV30" si="25">AF30*0.0765/12</f>
        <v>138.86280000000002</v>
      </c>
      <c r="AW30">
        <v>33.299999999999997</v>
      </c>
      <c r="AX30" s="102">
        <f t="shared" ref="AX30" si="26">(AN30+AO30+AP30+AQ30+AR30+AU30+AV30+AW30)*12</f>
        <v>2107.3401600000007</v>
      </c>
      <c r="AY30" s="29">
        <f t="shared" ref="AY30" si="27">AX30/AF30</f>
        <v>9.6745085940943165E-2</v>
      </c>
      <c r="AZ30" s="102">
        <f>AF30+AS30</f>
        <v>21782.400000000001</v>
      </c>
    </row>
    <row r="31" spans="1:52" x14ac:dyDescent="0.2">
      <c r="A31" s="4"/>
      <c r="B31" s="4"/>
      <c r="C31" s="7"/>
      <c r="D31" s="93"/>
      <c r="E31" s="128"/>
      <c r="F31" s="95"/>
      <c r="G31" s="95"/>
      <c r="H31" s="95"/>
      <c r="I31" s="94"/>
      <c r="J31" s="94"/>
      <c r="K31" s="94"/>
      <c r="L31" s="94"/>
      <c r="P31" s="7"/>
      <c r="Q31" s="7"/>
      <c r="R31" s="7"/>
      <c r="T31" s="7"/>
      <c r="U31" s="57"/>
      <c r="V31" s="57"/>
      <c r="W31" s="68"/>
      <c r="X31" s="45"/>
      <c r="Y31" s="7"/>
      <c r="Z31" s="4"/>
      <c r="AA31" s="73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02"/>
      <c r="AO31" s="81"/>
      <c r="AQ31" s="81"/>
      <c r="AR31" s="74"/>
      <c r="AS31" s="113"/>
      <c r="AT31" s="110"/>
      <c r="AU31" s="114"/>
      <c r="AV31" s="81"/>
      <c r="AX31" s="102"/>
      <c r="AY31" s="29"/>
      <c r="AZ31" s="102"/>
    </row>
    <row r="32" spans="1:52" x14ac:dyDescent="0.2">
      <c r="A32" s="4" t="s">
        <v>307</v>
      </c>
      <c r="B32" s="4" t="s">
        <v>266</v>
      </c>
      <c r="C32" s="7"/>
      <c r="D32" s="45">
        <f>(AF32+AX32)*0.15</f>
        <v>13054.477198800001</v>
      </c>
      <c r="E32" s="57">
        <f>(AF32+AX32)*0.85</f>
        <v>73975.370793200011</v>
      </c>
      <c r="F32" s="143">
        <f>D32+E32</f>
        <v>87029.84799200001</v>
      </c>
      <c r="G32" s="45"/>
      <c r="H32" s="126"/>
      <c r="I32" s="96"/>
      <c r="J32" s="7"/>
      <c r="K32" s="7"/>
      <c r="L32" s="7"/>
      <c r="N32" s="7"/>
      <c r="O32" s="7"/>
      <c r="P32" s="7"/>
      <c r="Q32" s="7"/>
      <c r="R32" s="7"/>
      <c r="S32" s="7"/>
      <c r="T32" s="7"/>
      <c r="U32" s="57"/>
      <c r="V32" s="57">
        <f>G32+H32+I32+J32+K32+L32+O32+P32+Q32+S32+T32+U32</f>
        <v>0</v>
      </c>
      <c r="W32" s="68">
        <f>AF32+AX32</f>
        <v>87029.84799200001</v>
      </c>
      <c r="X32" s="45"/>
      <c r="Y32" s="7"/>
      <c r="Z32" s="4" t="s">
        <v>134</v>
      </c>
      <c r="AA32" s="73">
        <f>AB32/AC32-1</f>
        <v>2.6766850678116239E-2</v>
      </c>
      <c r="AB32" s="15">
        <f>56663+3600</f>
        <v>60263</v>
      </c>
      <c r="AC32" s="15">
        <f>55092+3600</f>
        <v>58692</v>
      </c>
      <c r="AD32" s="15">
        <v>3</v>
      </c>
      <c r="AE32" s="15">
        <f t="shared" si="11"/>
        <v>1483.01</v>
      </c>
      <c r="AF32" s="15">
        <f>(AC32/12*6)+(AB32/12*4)</f>
        <v>49433.666666666672</v>
      </c>
      <c r="AG32" s="15">
        <v>55332</v>
      </c>
      <c r="AH32" s="15">
        <v>53760</v>
      </c>
      <c r="AI32" s="15">
        <f>(AH32/12*8)+(AG32/12*4)</f>
        <v>54284</v>
      </c>
      <c r="AJ32" s="15">
        <f t="shared" si="12"/>
        <v>50916.676666666674</v>
      </c>
      <c r="AK32" s="15"/>
      <c r="AL32" s="15"/>
      <c r="AM32" s="15" t="s">
        <v>278</v>
      </c>
      <c r="AN32" s="102">
        <v>1679.16</v>
      </c>
      <c r="AO32" s="81">
        <v>19.2</v>
      </c>
      <c r="AP32">
        <v>152.43</v>
      </c>
      <c r="AQ32" s="81">
        <f>AF32*0.009576/12</f>
        <v>39.448066000000004</v>
      </c>
      <c r="AR32" s="74">
        <f t="shared" si="8"/>
        <v>886.51042222222225</v>
      </c>
      <c r="AS32" s="113">
        <f t="shared" si="9"/>
        <v>33320.981858666666</v>
      </c>
      <c r="AT32" s="110">
        <f>AS32/AF32</f>
        <v>0.67405442698296025</v>
      </c>
      <c r="AU32" s="114">
        <f>(AF32*0.19/100)/12</f>
        <v>7.8269972222222224</v>
      </c>
      <c r="AV32" s="81">
        <f>AF32*0.0765/12</f>
        <v>315.13962500000002</v>
      </c>
      <c r="AW32">
        <v>33.299999999999997</v>
      </c>
      <c r="AX32" s="102">
        <f t="shared" si="10"/>
        <v>37596.181325333338</v>
      </c>
      <c r="AY32" s="29">
        <f>AX32/AF32</f>
        <v>0.76053798677014994</v>
      </c>
      <c r="AZ32" s="102">
        <f>AF32+AS32</f>
        <v>82754.648525333338</v>
      </c>
    </row>
    <row r="33" spans="1:52" x14ac:dyDescent="0.2">
      <c r="A33" s="4" t="s">
        <v>241</v>
      </c>
      <c r="B33" s="4" t="s">
        <v>267</v>
      </c>
      <c r="C33" s="7"/>
      <c r="D33" s="45">
        <f>(AF33+AX33)*0.5</f>
        <v>35993.721816000005</v>
      </c>
      <c r="E33" s="57">
        <f>(AF33+AX33)*0.5</f>
        <v>35993.721816000005</v>
      </c>
      <c r="F33" s="57">
        <f>D33+E33</f>
        <v>71987.44363200001</v>
      </c>
      <c r="G33" s="45"/>
      <c r="H33" s="126"/>
      <c r="I33" s="9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57"/>
      <c r="V33" s="57">
        <f t="shared" ref="V33:V39" si="28">G33+H33+I33+J33+K33+L33+M33+O33+P33+Q33+S33+T33+U33</f>
        <v>0</v>
      </c>
      <c r="W33" s="68">
        <f>AF33+AX33</f>
        <v>71987.44363200001</v>
      </c>
      <c r="X33" s="45"/>
      <c r="Y33" s="7"/>
      <c r="Z33" s="4" t="s">
        <v>138</v>
      </c>
      <c r="AA33" s="73">
        <f>AB33/AC33-1</f>
        <v>3.9142091152815084E-2</v>
      </c>
      <c r="AB33" s="15">
        <v>46512</v>
      </c>
      <c r="AC33" s="15">
        <v>44760</v>
      </c>
      <c r="AD33" s="15">
        <v>10</v>
      </c>
      <c r="AE33" s="15">
        <f t="shared" si="11"/>
        <v>4578.2</v>
      </c>
      <c r="AF33" s="15">
        <f>(AC33/12*5)+(AB33/12*7)</f>
        <v>45782</v>
      </c>
      <c r="AG33" s="15"/>
      <c r="AH33" s="15">
        <v>43200</v>
      </c>
      <c r="AI33" s="15">
        <f>(AH33/12*7)</f>
        <v>25200</v>
      </c>
      <c r="AJ33" s="15">
        <f t="shared" si="12"/>
        <v>50360.2</v>
      </c>
      <c r="AK33" s="15"/>
      <c r="AL33" s="15"/>
      <c r="AM33" s="15" t="s">
        <v>282</v>
      </c>
      <c r="AN33" s="102">
        <v>930.76</v>
      </c>
      <c r="AO33" s="81">
        <v>19.2</v>
      </c>
      <c r="AP33">
        <v>43.86</v>
      </c>
      <c r="AQ33" s="81">
        <f>AF33*0.009576/12</f>
        <v>36.534035999999993</v>
      </c>
      <c r="AR33" s="74">
        <f t="shared" si="8"/>
        <v>821.02386666666678</v>
      </c>
      <c r="AS33" s="113">
        <f t="shared" si="9"/>
        <v>22216.534831999998</v>
      </c>
      <c r="AT33" s="110">
        <f>AS33/AF33</f>
        <v>0.48526789637848933</v>
      </c>
      <c r="AU33" s="114">
        <f>(AF33*0.19/100)/12</f>
        <v>7.2488166666666665</v>
      </c>
      <c r="AV33" s="81">
        <f>AF33*0.0765/12</f>
        <v>291.86025000000001</v>
      </c>
      <c r="AW33">
        <v>33.299999999999997</v>
      </c>
      <c r="AX33" s="102">
        <f t="shared" si="10"/>
        <v>26205.443632000002</v>
      </c>
      <c r="AY33" s="29">
        <f>AX33/AF33</f>
        <v>0.57239621755275005</v>
      </c>
      <c r="AZ33" s="102">
        <f>AF33+AS33</f>
        <v>67998.534832000005</v>
      </c>
    </row>
    <row r="34" spans="1:52" x14ac:dyDescent="0.2">
      <c r="A34" s="4" t="s">
        <v>308</v>
      </c>
      <c r="B34" s="4" t="s">
        <v>271</v>
      </c>
      <c r="C34" s="7"/>
      <c r="D34" s="45">
        <f>(AF34+AX34)*0.15</f>
        <v>6256.4818320000004</v>
      </c>
      <c r="E34" s="57">
        <f>(AF34+AX34)*0.85</f>
        <v>35453.397047999999</v>
      </c>
      <c r="F34" s="57">
        <f>D34+E34</f>
        <v>41709.878879999997</v>
      </c>
      <c r="G34" s="45"/>
      <c r="H34" s="126"/>
      <c r="I34" s="9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57"/>
      <c r="V34" s="57">
        <f t="shared" si="28"/>
        <v>0</v>
      </c>
      <c r="W34" s="68">
        <f>AF34+AX34</f>
        <v>41709.878880000004</v>
      </c>
      <c r="X34" s="45"/>
      <c r="Y34" s="7"/>
      <c r="Z34" s="4" t="s">
        <v>138</v>
      </c>
      <c r="AA34" s="73">
        <f>AB34/AC34-1</f>
        <v>0</v>
      </c>
      <c r="AB34" s="15">
        <v>44760</v>
      </c>
      <c r="AC34" s="15">
        <v>44760</v>
      </c>
      <c r="AD34" s="15">
        <v>10</v>
      </c>
      <c r="AE34" s="15">
        <f t="shared" si="11"/>
        <v>2238</v>
      </c>
      <c r="AF34" s="15">
        <f>AC34/2</f>
        <v>22380</v>
      </c>
      <c r="AG34" s="15"/>
      <c r="AH34" s="15">
        <v>43200</v>
      </c>
      <c r="AI34" s="15">
        <f>(AH34/12*7)</f>
        <v>25200</v>
      </c>
      <c r="AJ34" s="15">
        <f t="shared" si="12"/>
        <v>24618</v>
      </c>
      <c r="AK34" s="15"/>
      <c r="AL34" s="15"/>
      <c r="AM34" s="15" t="s">
        <v>277</v>
      </c>
      <c r="AN34" s="102">
        <v>949.04</v>
      </c>
      <c r="AO34" s="81">
        <v>19.2</v>
      </c>
      <c r="AP34">
        <v>43.86</v>
      </c>
      <c r="AQ34" s="81">
        <f>AF34*0.009576/12</f>
        <v>17.85924</v>
      </c>
      <c r="AR34" s="74">
        <f t="shared" si="8"/>
        <v>401.34800000000001</v>
      </c>
      <c r="AS34" s="113">
        <f t="shared" si="9"/>
        <v>17175.686880000001</v>
      </c>
      <c r="AT34" s="110">
        <f>AS34/AF34</f>
        <v>0.7674569651474531</v>
      </c>
      <c r="AU34" s="114">
        <f>(AF34*0.19/100)/12</f>
        <v>3.5434999999999999</v>
      </c>
      <c r="AV34" s="81">
        <f>AF34*0.0765/12</f>
        <v>142.67249999999999</v>
      </c>
      <c r="AW34">
        <v>33.299999999999997</v>
      </c>
      <c r="AX34" s="102">
        <f t="shared" si="10"/>
        <v>19329.87888</v>
      </c>
      <c r="AY34" s="29">
        <f>AX34/AF34</f>
        <v>0.86371219302949065</v>
      </c>
      <c r="AZ34" s="102">
        <f>AF34+AS34</f>
        <v>39555.686880000001</v>
      </c>
    </row>
    <row r="35" spans="1:52" x14ac:dyDescent="0.2">
      <c r="A35" s="101" t="s">
        <v>309</v>
      </c>
      <c r="B35" s="101" t="s">
        <v>272</v>
      </c>
      <c r="C35" s="7"/>
      <c r="D35" s="45">
        <f>(AF35+AX35)*0.15</f>
        <v>12680.0481021</v>
      </c>
      <c r="E35" s="57">
        <f>(AF35+AX35)*0.85</f>
        <v>71853.605911899998</v>
      </c>
      <c r="F35" s="57">
        <f>D35+E35</f>
        <v>84533.654014</v>
      </c>
      <c r="G35" s="45"/>
      <c r="H35" s="126"/>
      <c r="I35" s="96"/>
      <c r="J35" s="7"/>
      <c r="K35" s="7"/>
      <c r="L35" s="7"/>
      <c r="T35" s="7"/>
      <c r="U35" s="57"/>
      <c r="V35" s="57">
        <f t="shared" si="28"/>
        <v>0</v>
      </c>
      <c r="W35" s="68">
        <f>AF35+AX35</f>
        <v>84533.654014</v>
      </c>
      <c r="X35" s="45"/>
      <c r="Y35" s="7"/>
      <c r="Z35" s="4" t="s">
        <v>215</v>
      </c>
      <c r="AA35" s="73">
        <f>AB35/AC35-1</f>
        <v>0</v>
      </c>
      <c r="AB35" s="15">
        <f>56663+3600</f>
        <v>60263</v>
      </c>
      <c r="AC35" s="15">
        <f>56663+3600</f>
        <v>60263</v>
      </c>
      <c r="AD35" s="15">
        <v>2</v>
      </c>
      <c r="AE35" s="15">
        <f t="shared" si="11"/>
        <v>1104.8216666666667</v>
      </c>
      <c r="AF35" s="15">
        <f>AB35/12*11</f>
        <v>55241.083333333336</v>
      </c>
      <c r="AG35" s="15"/>
      <c r="AH35" s="15">
        <v>48456</v>
      </c>
      <c r="AI35" s="15">
        <f>AH35/12*4</f>
        <v>16152</v>
      </c>
      <c r="AJ35" s="15">
        <f t="shared" si="12"/>
        <v>56345.904999999999</v>
      </c>
      <c r="AK35" s="15"/>
      <c r="AL35" s="15"/>
      <c r="AM35" s="15" t="s">
        <v>277</v>
      </c>
      <c r="AN35" s="102">
        <v>949.04</v>
      </c>
      <c r="AO35" s="81">
        <v>19.2</v>
      </c>
      <c r="AP35">
        <v>43.86</v>
      </c>
      <c r="AQ35" s="81">
        <f>AF35*0.009576/12</f>
        <v>44.082384499999996</v>
      </c>
      <c r="AR35" s="74">
        <f t="shared" si="8"/>
        <v>990.65676111111122</v>
      </c>
      <c r="AS35" s="113">
        <f t="shared" si="9"/>
        <v>24562.069747333335</v>
      </c>
      <c r="AT35" s="110">
        <f>AS35/AF35</f>
        <v>0.44463410681361848</v>
      </c>
      <c r="AU35" s="114">
        <f>(AF35*0.19/100)/12</f>
        <v>8.7465048611111111</v>
      </c>
      <c r="AV35" s="81">
        <f>AF35*0.0765/12</f>
        <v>352.16190624999996</v>
      </c>
      <c r="AW35">
        <v>33.299999999999997</v>
      </c>
      <c r="AX35" s="102">
        <f t="shared" si="10"/>
        <v>29292.570680666671</v>
      </c>
      <c r="AY35" s="29">
        <f>AX35/AF35</f>
        <v>0.53026785343637672</v>
      </c>
      <c r="AZ35" s="102">
        <f>AF35+AS35</f>
        <v>79803.153080666671</v>
      </c>
    </row>
    <row r="36" spans="1:52" x14ac:dyDescent="0.2">
      <c r="A36" s="101" t="s">
        <v>310</v>
      </c>
      <c r="B36" s="101"/>
      <c r="C36" s="7"/>
      <c r="D36" s="45"/>
      <c r="E36" s="57"/>
      <c r="F36" s="57"/>
      <c r="G36" s="45"/>
      <c r="H36" s="126"/>
      <c r="I36" s="96"/>
      <c r="J36" s="7"/>
      <c r="K36" s="7"/>
      <c r="L36" s="7"/>
      <c r="T36" s="7"/>
      <c r="U36" s="57"/>
      <c r="V36" s="57">
        <f t="shared" si="28"/>
        <v>0</v>
      </c>
      <c r="W36" s="68"/>
      <c r="X36" s="45"/>
      <c r="Y36" s="7"/>
      <c r="Z36" s="4" t="s">
        <v>134</v>
      </c>
      <c r="AA36" s="73"/>
      <c r="AB36" s="15"/>
      <c r="AC36" s="15"/>
      <c r="AD36" s="15"/>
      <c r="AE36" s="15"/>
      <c r="AF36" s="15"/>
      <c r="AG36" s="15">
        <f>45732+1200</f>
        <v>46932</v>
      </c>
      <c r="AH36" s="15">
        <v>45460</v>
      </c>
      <c r="AI36" s="15">
        <f>AH36/12*3+AG36/12*3</f>
        <v>23098</v>
      </c>
      <c r="AJ36" s="15">
        <f t="shared" si="12"/>
        <v>0</v>
      </c>
      <c r="AK36" s="15"/>
      <c r="AL36" s="15"/>
      <c r="AM36" s="15"/>
      <c r="AN36" s="102"/>
      <c r="AO36" s="81"/>
      <c r="AQ36" s="81"/>
      <c r="AR36" s="74"/>
      <c r="AS36" s="113"/>
      <c r="AT36" s="110"/>
      <c r="AU36" s="114"/>
      <c r="AV36" s="81"/>
      <c r="AX36" s="102"/>
      <c r="AY36" s="29"/>
      <c r="AZ36" s="102"/>
    </row>
    <row r="37" spans="1:52" x14ac:dyDescent="0.2">
      <c r="A37" s="4" t="s">
        <v>238</v>
      </c>
      <c r="B37" s="4" t="s">
        <v>270</v>
      </c>
      <c r="C37" s="7"/>
      <c r="D37" s="45">
        <f>(AF37+AX37)*0.4</f>
        <v>27880.300915200001</v>
      </c>
      <c r="E37" s="57">
        <f>(AF37+AX37)*0.6</f>
        <v>41820.451372800002</v>
      </c>
      <c r="F37" s="57">
        <f>D37+E37</f>
        <v>69700.752288000003</v>
      </c>
      <c r="G37" s="45"/>
      <c r="H37" s="126"/>
      <c r="I37" s="96"/>
      <c r="J37" s="7"/>
      <c r="K37" s="7"/>
      <c r="L37" s="7"/>
      <c r="T37" s="7"/>
      <c r="U37" s="57"/>
      <c r="V37" s="57">
        <f t="shared" si="28"/>
        <v>0</v>
      </c>
      <c r="W37" s="68">
        <f>AF37+AX37</f>
        <v>69700.752288000003</v>
      </c>
      <c r="X37" s="45"/>
      <c r="Y37" s="7"/>
      <c r="Z37" s="4" t="s">
        <v>135</v>
      </c>
      <c r="AA37" s="75">
        <f>AB37/AC37-1</f>
        <v>2.9428228708516579E-2</v>
      </c>
      <c r="AB37" s="15">
        <f>47292+1800+2400</f>
        <v>51492</v>
      </c>
      <c r="AC37" s="15">
        <f>45820+1800+2400</f>
        <v>50020</v>
      </c>
      <c r="AD37" s="15">
        <v>3</v>
      </c>
      <c r="AE37" s="15">
        <f t="shared" si="11"/>
        <v>1511.64</v>
      </c>
      <c r="AF37" s="15">
        <f>(AC37/12*9)+(AB37/12*3)</f>
        <v>50388</v>
      </c>
      <c r="AG37" s="15">
        <v>40941</v>
      </c>
      <c r="AH37" s="74">
        <v>39412</v>
      </c>
      <c r="AI37" s="15">
        <f>AH37/12*9+AG37/12*3</f>
        <v>39794.25</v>
      </c>
      <c r="AJ37" s="15">
        <f t="shared" si="12"/>
        <v>51899.64</v>
      </c>
      <c r="AK37" s="15"/>
      <c r="AL37" s="15"/>
      <c r="AM37" s="15" t="s">
        <v>276</v>
      </c>
      <c r="AN37" s="102">
        <v>240</v>
      </c>
      <c r="AO37" s="81">
        <v>19.2</v>
      </c>
      <c r="AP37">
        <v>43.86</v>
      </c>
      <c r="AQ37" s="81">
        <f>AF37*0.009576/12</f>
        <v>40.209623999999998</v>
      </c>
      <c r="AR37" s="74">
        <f t="shared" si="8"/>
        <v>903.62480000000005</v>
      </c>
      <c r="AS37" s="113">
        <f t="shared" si="9"/>
        <v>14962.733088000001</v>
      </c>
      <c r="AT37" s="110">
        <f>AS37/AF37</f>
        <v>0.29695032722076686</v>
      </c>
      <c r="AU37" s="114">
        <f>(AF37*0.19/100)/12</f>
        <v>7.9780999999999986</v>
      </c>
      <c r="AV37" s="81">
        <f>AF37*0.0765/12</f>
        <v>321.2235</v>
      </c>
      <c r="AW37">
        <v>33.299999999999997</v>
      </c>
      <c r="AX37" s="102">
        <f t="shared" si="10"/>
        <v>19312.752288000003</v>
      </c>
      <c r="AY37" s="29">
        <f>AX37/AF37</f>
        <v>0.3832807868540129</v>
      </c>
      <c r="AZ37" s="102">
        <f>AF37+AS37</f>
        <v>65350.733088000001</v>
      </c>
    </row>
    <row r="38" spans="1:52" ht="15" x14ac:dyDescent="0.25">
      <c r="A38" t="s">
        <v>242</v>
      </c>
      <c r="B38" t="s">
        <v>268</v>
      </c>
      <c r="C38" s="7"/>
      <c r="D38" s="45">
        <f>(AF38+AX38)*0</f>
        <v>0</v>
      </c>
      <c r="E38" s="57">
        <f>(AF38+AX38)</f>
        <v>26839.379839999998</v>
      </c>
      <c r="F38" s="57">
        <f>D38+E38</f>
        <v>26839.379839999998</v>
      </c>
      <c r="G38" s="45"/>
      <c r="H38" s="126"/>
      <c r="I38" s="96"/>
      <c r="J38" s="7"/>
      <c r="K38" s="7"/>
      <c r="L38" s="7"/>
      <c r="M38" s="7"/>
      <c r="N38" s="7"/>
      <c r="O38" s="7"/>
      <c r="P38" s="141"/>
      <c r="Q38" s="7"/>
      <c r="R38" s="7"/>
      <c r="S38" s="7"/>
      <c r="T38" s="7"/>
      <c r="U38" s="57"/>
      <c r="V38" s="57">
        <f t="shared" si="28"/>
        <v>0</v>
      </c>
      <c r="W38" s="68">
        <f>AF38+AX38</f>
        <v>26839.379839999998</v>
      </c>
      <c r="X38" s="45"/>
      <c r="Y38" s="7"/>
      <c r="Z38" s="4" t="s">
        <v>195</v>
      </c>
      <c r="AA38" s="73">
        <f>22.44/21.44-1</f>
        <v>4.664179104477606E-2</v>
      </c>
      <c r="AB38" s="15">
        <f>(22.44+1.25)*20*46</f>
        <v>21794.799999999999</v>
      </c>
      <c r="AC38" s="15">
        <f>(21.44+1.25)*20*6</f>
        <v>2722.8</v>
      </c>
      <c r="AD38" s="100"/>
      <c r="AE38" s="15"/>
      <c r="AF38" s="15">
        <f>AB38+AC38</f>
        <v>24517.599999999999</v>
      </c>
      <c r="AG38" s="74">
        <v>36356</v>
      </c>
      <c r="AH38" s="74">
        <v>36356</v>
      </c>
      <c r="AI38" s="15">
        <f>(AH38/12*10)+(8.66*17.5*20)</f>
        <v>33327.666666666664</v>
      </c>
      <c r="AJ38" s="15"/>
      <c r="AK38" s="15"/>
      <c r="AL38" s="15"/>
      <c r="AM38" s="15" t="s">
        <v>283</v>
      </c>
      <c r="AN38" s="102"/>
      <c r="AO38" s="81"/>
      <c r="AQ38" s="81"/>
      <c r="AR38" s="74"/>
      <c r="AS38" s="113">
        <f t="shared" si="9"/>
        <v>0</v>
      </c>
      <c r="AT38" s="110">
        <f>AS38/AF38</f>
        <v>0</v>
      </c>
      <c r="AU38" s="114">
        <f>(AF38*0.19/100)/12</f>
        <v>3.8819533333333336</v>
      </c>
      <c r="AV38" s="81">
        <f>AF38*0.0765/12</f>
        <v>156.2997</v>
      </c>
      <c r="AW38">
        <v>33.299999999999997</v>
      </c>
      <c r="AX38" s="102">
        <f t="shared" si="10"/>
        <v>2321.7798400000001</v>
      </c>
      <c r="AY38" s="29">
        <f>AX38/AF38</f>
        <v>9.469849577446407E-2</v>
      </c>
      <c r="AZ38" s="102">
        <f>AF38+AS38</f>
        <v>24517.599999999999</v>
      </c>
    </row>
    <row r="39" spans="1:52" x14ac:dyDescent="0.2">
      <c r="A39" s="4" t="s">
        <v>77</v>
      </c>
      <c r="B39" s="4" t="s">
        <v>269</v>
      </c>
      <c r="C39" s="7"/>
      <c r="D39" s="45">
        <f>(AF39+AX39)*0</f>
        <v>0</v>
      </c>
      <c r="E39" s="57">
        <f>(AF39+AX39)</f>
        <v>23240.112000000001</v>
      </c>
      <c r="F39" s="45">
        <f>D39+E39</f>
        <v>23240.112000000001</v>
      </c>
      <c r="G39" s="45"/>
      <c r="H39" s="126"/>
      <c r="I39" s="9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7"/>
      <c r="V39" s="57">
        <f t="shared" si="28"/>
        <v>0</v>
      </c>
      <c r="W39" s="68">
        <f>AF39+AX39</f>
        <v>23240.112000000001</v>
      </c>
      <c r="X39" s="45"/>
      <c r="Y39" s="7"/>
      <c r="Z39" s="4" t="s">
        <v>128</v>
      </c>
      <c r="AA39" s="29">
        <f>20/19-1</f>
        <v>5.2631578947368363E-2</v>
      </c>
      <c r="AB39" s="15">
        <f>(20+1.25)*20*6</f>
        <v>2550</v>
      </c>
      <c r="AC39" s="15">
        <f>(19+1.25)*20*46</f>
        <v>18630</v>
      </c>
      <c r="AD39" s="100"/>
      <c r="AE39" s="15"/>
      <c r="AF39" s="15">
        <f>AB39+AC39</f>
        <v>21180</v>
      </c>
      <c r="AG39" s="42"/>
      <c r="AH39" s="42"/>
      <c r="AM39" s="15" t="s">
        <v>283</v>
      </c>
      <c r="AN39" s="102"/>
      <c r="AO39" s="81"/>
      <c r="AQ39" s="81"/>
      <c r="AR39" s="74"/>
      <c r="AS39" s="113">
        <f t="shared" si="9"/>
        <v>0</v>
      </c>
      <c r="AT39" s="110">
        <f>AS39/AF39</f>
        <v>0</v>
      </c>
      <c r="AU39" s="114">
        <f>(AF39*0.19/100)/12</f>
        <v>3.3535000000000004</v>
      </c>
      <c r="AV39" s="81">
        <f>AF39*0.0765/12</f>
        <v>135.02250000000001</v>
      </c>
      <c r="AW39">
        <v>33.299999999999997</v>
      </c>
      <c r="AX39" s="102">
        <f t="shared" si="10"/>
        <v>2060.1120000000001</v>
      </c>
      <c r="AY39" s="29">
        <f>AX39/AF39</f>
        <v>9.7266855524079321E-2</v>
      </c>
      <c r="AZ39" s="102">
        <f>AF39+AS39</f>
        <v>21180</v>
      </c>
    </row>
    <row r="40" spans="1:52" x14ac:dyDescent="0.2">
      <c r="A40" s="4"/>
      <c r="B40" s="4"/>
      <c r="C40" s="7"/>
      <c r="D40" s="45"/>
      <c r="E40" s="57"/>
      <c r="F40" s="45"/>
      <c r="G40" s="45"/>
      <c r="H40" s="4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7"/>
      <c r="V40" s="45"/>
      <c r="W40" s="68"/>
      <c r="X40" s="45"/>
      <c r="Y40" s="7"/>
      <c r="Z40" s="4"/>
      <c r="AA40" s="29"/>
      <c r="AB40" s="29"/>
      <c r="AC40" s="29"/>
      <c r="AD40" s="29"/>
      <c r="AE40" s="29"/>
      <c r="AF40" s="15"/>
      <c r="AG40" s="42"/>
      <c r="AH40" s="42"/>
      <c r="AS40" s="74"/>
      <c r="AT40" s="138"/>
      <c r="AX40" s="15"/>
      <c r="AY40" s="139"/>
    </row>
    <row r="41" spans="1:52" hidden="1" x14ac:dyDescent="0.2">
      <c r="A41" s="11"/>
      <c r="B41" s="1"/>
      <c r="C41" s="65">
        <v>963187.63</v>
      </c>
      <c r="D41" s="45">
        <f>SUM(D9:D39)</f>
        <v>95865.029864099997</v>
      </c>
      <c r="E41" s="57">
        <f>SUM(E9:E39)</f>
        <v>309176.03878190002</v>
      </c>
      <c r="F41" s="45">
        <f>SUM(F9:F39)</f>
        <v>405041.06864600006</v>
      </c>
      <c r="G41" s="45">
        <f>SUM(G9:G39)</f>
        <v>0</v>
      </c>
      <c r="H41" s="45">
        <f>SUM(H9:H39)</f>
        <v>59247.347615710001</v>
      </c>
      <c r="I41" s="7">
        <f>SUM(I9:I39)</f>
        <v>135359.9914011558</v>
      </c>
      <c r="J41" s="7">
        <f>SUM(J9:J39)</f>
        <v>64474.165039999993</v>
      </c>
      <c r="K41" s="7">
        <f>SUM(K9:K39)</f>
        <v>66715.725933900001</v>
      </c>
      <c r="L41" s="7">
        <f>SUM(L9:L39)</f>
        <v>86874.355592308333</v>
      </c>
      <c r="M41" s="7">
        <f>SUM(M9:M39)</f>
        <v>58815.54820243334</v>
      </c>
      <c r="N41" s="7">
        <f>SUM(N9:N39)</f>
        <v>85127.142083999992</v>
      </c>
      <c r="O41" s="7">
        <f>SUM(O9:O39)</f>
        <v>198509.45903189492</v>
      </c>
      <c r="P41" s="7">
        <f>SUM(P9:P39)</f>
        <v>189949.37417403335</v>
      </c>
      <c r="Q41" s="7">
        <f>SUM(Q9:Q39)</f>
        <v>548113.04722279496</v>
      </c>
      <c r="R41" s="7">
        <f>SUM(R9:R39)</f>
        <v>43932.020462590001</v>
      </c>
      <c r="S41" s="7">
        <f>SUM(S9:S39)</f>
        <v>38797.09840462498</v>
      </c>
      <c r="T41" s="7">
        <f>SUM(T9:T39)</f>
        <v>199361.99050490002</v>
      </c>
      <c r="U41" s="57">
        <f>SUM(U9:U39)</f>
        <v>0</v>
      </c>
      <c r="V41" s="68">
        <f>SUM(V9:V39)</f>
        <v>1775277.2656703456</v>
      </c>
      <c r="W41" s="68">
        <f>SUM(W9:W39)</f>
        <v>2180318.3343163459</v>
      </c>
      <c r="X41" s="102">
        <f>W41-C41</f>
        <v>1217130.704316346</v>
      </c>
      <c r="Y41" s="15"/>
      <c r="Z41" s="15">
        <f>SUM(Z9:Z39)</f>
        <v>0</v>
      </c>
      <c r="AA41" s="29">
        <f>W41/C41-1</f>
        <v>1.2636486042873556</v>
      </c>
      <c r="AB41" s="15"/>
      <c r="AC41" s="15"/>
      <c r="AD41" s="15"/>
      <c r="AE41" s="15"/>
      <c r="AF41" s="15">
        <f>SUM(AF38:AF40)</f>
        <v>45697.599999999999</v>
      </c>
      <c r="AG41">
        <f>SUM(AG9:AG39)</f>
        <v>659228.21</v>
      </c>
      <c r="AH41" s="15">
        <f>SUM(AH9:AH39)</f>
        <v>1261164</v>
      </c>
      <c r="AI41" s="15">
        <f>SUM(AI9:AI39)</f>
        <v>887261.2766666665</v>
      </c>
      <c r="AJ41" s="15"/>
      <c r="AK41" s="15"/>
      <c r="AL41" s="15"/>
      <c r="AM41" s="15"/>
      <c r="AN41" s="102">
        <f>SUM(AN9:AN39)*12</f>
        <v>294441.35999999993</v>
      </c>
      <c r="AO41" s="15">
        <f>SUM(AO9:AO39)*12</f>
        <v>5759.9999999999982</v>
      </c>
      <c r="AP41" s="15">
        <f>SUM(AP9:AP39)*12</f>
        <v>18257.87999999999</v>
      </c>
      <c r="AQ41" s="15">
        <f>SUM(AQ9:AQ39)*12</f>
        <v>13064.366656185601</v>
      </c>
      <c r="AR41" s="74">
        <f>SUM(AR9:AR39)*12</f>
        <v>293593.5363837867</v>
      </c>
      <c r="AS41" s="113">
        <f>(AN41+AO41+AP41+AQ41+AR41)</f>
        <v>625117.14303997229</v>
      </c>
      <c r="AT41" s="110">
        <f>AS41/AF41</f>
        <v>13.679430496130482</v>
      </c>
      <c r="AU41" s="113">
        <f>SUM(AU9:AU39)*12</f>
        <v>2720.3482413066668</v>
      </c>
      <c r="AV41" s="74">
        <f>SUM(AV9:AV39)*12</f>
        <v>109529.81076839996</v>
      </c>
      <c r="AW41" s="74">
        <f>SUM(AW9:AW39)</f>
        <v>932.39999999999952</v>
      </c>
      <c r="AX41" s="102">
        <f>(AN41+AO41+AP41+AQ41+AR41+AU41+AV41+AW41)</f>
        <v>738299.70204967889</v>
      </c>
      <c r="AY41" s="29">
        <f>AX41/AF41</f>
        <v>16.156202996430423</v>
      </c>
      <c r="AZ41" s="63"/>
    </row>
    <row r="42" spans="1:52" hidden="1" x14ac:dyDescent="0.2">
      <c r="A42" s="1"/>
      <c r="B42" s="1"/>
      <c r="C42" s="7"/>
      <c r="D42" s="45"/>
      <c r="E42" s="57"/>
      <c r="F42" s="57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57"/>
      <c r="V42" s="57"/>
      <c r="W42" s="68"/>
      <c r="X42" s="45"/>
      <c r="Y42" s="4"/>
      <c r="Z42" s="4"/>
      <c r="AA42" s="29"/>
      <c r="AB42" s="29"/>
      <c r="AC42" s="29"/>
      <c r="AD42" s="29"/>
      <c r="AE42" s="29"/>
      <c r="AF42" s="15">
        <f>SUM(AF39:AF41)</f>
        <v>66877.600000000006</v>
      </c>
      <c r="AS42" s="74"/>
    </row>
    <row r="43" spans="1:52" hidden="1" x14ac:dyDescent="0.2">
      <c r="A43" s="9" t="s">
        <v>17</v>
      </c>
      <c r="B43" s="9"/>
      <c r="C43" s="7"/>
      <c r="D43" s="45"/>
      <c r="E43" s="57"/>
      <c r="F43" s="57"/>
      <c r="G43" s="4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57"/>
      <c r="V43" s="57"/>
      <c r="W43" s="68"/>
      <c r="X43" s="45"/>
      <c r="Y43" s="4"/>
      <c r="Z43" s="4"/>
      <c r="AA43" s="29"/>
      <c r="AB43" s="29"/>
      <c r="AC43" s="29"/>
      <c r="AD43" s="29"/>
      <c r="AE43" s="29"/>
      <c r="AF43" s="15">
        <f t="shared" ref="AF43:AF52" si="29">SUM(AF40:AF42)</f>
        <v>112575.20000000001</v>
      </c>
      <c r="AX43" s="15"/>
    </row>
    <row r="44" spans="1:52" hidden="1" x14ac:dyDescent="0.2">
      <c r="A44" s="4" t="s">
        <v>35</v>
      </c>
      <c r="B44" s="4"/>
      <c r="C44">
        <v>169636.06</v>
      </c>
      <c r="D44" s="45"/>
      <c r="E44" s="57"/>
      <c r="F44" s="57"/>
      <c r="G44" s="4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7"/>
      <c r="U44" s="57"/>
      <c r="V44" s="57">
        <f t="shared" ref="V44:V51" si="30">G44+H44+I44+J44+K44+L44+M44+O44+P44+Q44+S44+T44+U44</f>
        <v>0</v>
      </c>
      <c r="W44" s="68"/>
      <c r="X44" s="45">
        <f t="shared" ref="X44:X51" si="31">W44-C44</f>
        <v>-169636.06</v>
      </c>
      <c r="Y44" s="4"/>
      <c r="Z44" s="4" t="s">
        <v>142</v>
      </c>
      <c r="AA44" s="29"/>
      <c r="AB44" s="29"/>
      <c r="AC44" s="29"/>
      <c r="AD44" s="29"/>
      <c r="AE44" s="29"/>
      <c r="AF44" s="15">
        <f t="shared" si="29"/>
        <v>225150.40000000002</v>
      </c>
      <c r="AG44" s="107"/>
      <c r="AX44" s="15"/>
    </row>
    <row r="45" spans="1:52" hidden="1" x14ac:dyDescent="0.2">
      <c r="A45" s="4" t="s">
        <v>34</v>
      </c>
      <c r="B45" s="4"/>
      <c r="C45" s="7">
        <v>12352.05</v>
      </c>
      <c r="D45" s="45"/>
      <c r="E45" s="57"/>
      <c r="F45" s="57"/>
      <c r="G45" s="4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57"/>
      <c r="V45" s="57">
        <f t="shared" si="30"/>
        <v>0</v>
      </c>
      <c r="W45" s="68"/>
      <c r="X45" s="45">
        <f t="shared" si="31"/>
        <v>-12352.05</v>
      </c>
      <c r="Y45" s="4"/>
      <c r="Z45" s="4" t="s">
        <v>143</v>
      </c>
      <c r="AA45" s="29"/>
      <c r="AB45" s="29"/>
      <c r="AC45" s="29"/>
      <c r="AD45" s="29"/>
      <c r="AE45" s="29"/>
      <c r="AF45" s="15">
        <f t="shared" si="29"/>
        <v>404603.20000000007</v>
      </c>
      <c r="AG45" s="108"/>
    </row>
    <row r="46" spans="1:52" hidden="1" x14ac:dyDescent="0.2">
      <c r="A46" s="4" t="s">
        <v>36</v>
      </c>
      <c r="B46" s="4"/>
      <c r="C46" s="7">
        <v>4108.7999999999993</v>
      </c>
      <c r="D46" s="45"/>
      <c r="E46" s="57"/>
      <c r="F46" s="57"/>
      <c r="G46" s="4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57"/>
      <c r="V46" s="57">
        <f t="shared" si="30"/>
        <v>0</v>
      </c>
      <c r="W46" s="68"/>
      <c r="X46" s="45">
        <f t="shared" si="31"/>
        <v>-4108.7999999999993</v>
      </c>
      <c r="Y46" s="4"/>
      <c r="Z46" s="4" t="s">
        <v>143</v>
      </c>
      <c r="AA46" s="29"/>
      <c r="AB46" s="29"/>
      <c r="AC46" s="29"/>
      <c r="AD46" s="29"/>
      <c r="AE46" s="29"/>
      <c r="AF46" s="15">
        <f t="shared" si="29"/>
        <v>742328.8</v>
      </c>
      <c r="AG46" s="107"/>
    </row>
    <row r="47" spans="1:52" hidden="1" x14ac:dyDescent="0.2">
      <c r="A47" s="4" t="s">
        <v>37</v>
      </c>
      <c r="B47" s="4"/>
      <c r="C47" s="7">
        <v>9041.9065766749991</v>
      </c>
      <c r="D47" s="45"/>
      <c r="E47" s="57"/>
      <c r="F47" s="57"/>
      <c r="G47" s="4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57"/>
      <c r="V47" s="57">
        <f t="shared" si="30"/>
        <v>0</v>
      </c>
      <c r="W47" s="68"/>
      <c r="X47" s="45">
        <f t="shared" si="31"/>
        <v>-9041.9065766749991</v>
      </c>
      <c r="Y47" s="4"/>
      <c r="Z47" s="4" t="s">
        <v>143</v>
      </c>
      <c r="AA47" s="29"/>
      <c r="AB47" s="29"/>
      <c r="AC47" s="29"/>
      <c r="AD47" s="29"/>
      <c r="AE47" s="29"/>
      <c r="AF47" s="15">
        <f t="shared" si="29"/>
        <v>1372082.4000000001</v>
      </c>
    </row>
    <row r="48" spans="1:52" hidden="1" x14ac:dyDescent="0.2">
      <c r="A48" s="4" t="s">
        <v>0</v>
      </c>
      <c r="B48" s="4"/>
      <c r="C48" s="7">
        <v>1843.2804963402778</v>
      </c>
      <c r="D48" s="45"/>
      <c r="E48" s="57"/>
      <c r="F48" s="57"/>
      <c r="G48" s="45">
        <f t="shared" ref="G48" si="32">G41*0.19/100</f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57"/>
      <c r="V48" s="57">
        <f t="shared" si="30"/>
        <v>0</v>
      </c>
      <c r="W48" s="68"/>
      <c r="X48" s="45">
        <f t="shared" si="31"/>
        <v>-1843.2804963402778</v>
      </c>
      <c r="Y48" s="4"/>
      <c r="Z48" s="4" t="s">
        <v>118</v>
      </c>
      <c r="AA48" s="29"/>
      <c r="AB48" s="29"/>
      <c r="AC48" s="29"/>
      <c r="AD48" s="29"/>
      <c r="AE48" s="29"/>
      <c r="AF48" s="15">
        <f t="shared" si="29"/>
        <v>2519014.4000000004</v>
      </c>
    </row>
    <row r="49" spans="1:51" hidden="1" x14ac:dyDescent="0.2">
      <c r="A49" s="12" t="s">
        <v>21</v>
      </c>
      <c r="B49" s="12"/>
      <c r="C49" s="7">
        <v>232046.51534637297</v>
      </c>
      <c r="D49" s="45"/>
      <c r="E49" s="57"/>
      <c r="F49" s="57"/>
      <c r="G49" s="45">
        <f>26.79%*(G41)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57"/>
      <c r="V49" s="57">
        <f t="shared" si="30"/>
        <v>0</v>
      </c>
      <c r="W49" s="68"/>
      <c r="X49" s="45">
        <f t="shared" si="31"/>
        <v>-232046.51534637297</v>
      </c>
      <c r="Y49" s="4"/>
      <c r="Z49" s="4" t="s">
        <v>219</v>
      </c>
      <c r="AA49" s="29"/>
      <c r="AB49" s="29"/>
      <c r="AC49" s="29"/>
      <c r="AD49" s="29"/>
      <c r="AE49" s="29"/>
      <c r="AF49" s="15">
        <f t="shared" si="29"/>
        <v>4633425.6000000006</v>
      </c>
      <c r="AG49" s="109"/>
    </row>
    <row r="50" spans="1:51" hidden="1" x14ac:dyDescent="0.2">
      <c r="A50" s="4" t="s">
        <v>101</v>
      </c>
      <c r="B50" s="4"/>
      <c r="C50" s="7">
        <v>74262.19366843751</v>
      </c>
      <c r="D50" s="45"/>
      <c r="E50" s="57"/>
      <c r="F50" s="57"/>
      <c r="G50" s="45">
        <f t="shared" ref="G50" si="33">G41*7.65%</f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57"/>
      <c r="V50" s="57">
        <f t="shared" si="30"/>
        <v>0</v>
      </c>
      <c r="W50" s="68"/>
      <c r="X50" s="45">
        <f t="shared" si="31"/>
        <v>-74262.19366843751</v>
      </c>
      <c r="Y50" s="4"/>
      <c r="Z50" s="4" t="s">
        <v>94</v>
      </c>
      <c r="AA50" s="29"/>
      <c r="AB50" s="29"/>
      <c r="AC50" s="29"/>
      <c r="AD50" s="29"/>
      <c r="AE50" s="29"/>
      <c r="AF50" s="15">
        <f t="shared" si="29"/>
        <v>8524522.4000000022</v>
      </c>
    </row>
    <row r="51" spans="1:51" hidden="1" x14ac:dyDescent="0.2">
      <c r="A51" s="4" t="s">
        <v>1</v>
      </c>
      <c r="B51" s="4"/>
      <c r="C51" s="7">
        <v>956.76539000000002</v>
      </c>
      <c r="D51" s="45"/>
      <c r="E51" s="57"/>
      <c r="F51" s="57"/>
      <c r="G51" s="45">
        <f>G41*0.003</f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57"/>
      <c r="V51" s="57">
        <f t="shared" si="30"/>
        <v>0</v>
      </c>
      <c r="W51" s="68"/>
      <c r="X51" s="45">
        <f t="shared" si="31"/>
        <v>-956.76539000000002</v>
      </c>
      <c r="Y51" s="4"/>
      <c r="Z51" s="4" t="s">
        <v>144</v>
      </c>
      <c r="AA51" s="29"/>
      <c r="AB51" s="29"/>
      <c r="AC51" s="29"/>
      <c r="AD51" s="29"/>
      <c r="AE51" s="29"/>
      <c r="AF51" s="15">
        <f t="shared" si="29"/>
        <v>15676962.400000002</v>
      </c>
    </row>
    <row r="52" spans="1:51" hidden="1" x14ac:dyDescent="0.2">
      <c r="A52" s="9" t="s">
        <v>18</v>
      </c>
      <c r="B52" s="9"/>
      <c r="C52" s="7">
        <f>SUM(C44:C51)</f>
        <v>504247.57147782581</v>
      </c>
      <c r="D52" s="45">
        <f>SUM(D44:D51)</f>
        <v>0</v>
      </c>
      <c r="E52" s="57">
        <f>SUM(E44:E51)</f>
        <v>0</v>
      </c>
      <c r="F52" s="57">
        <f>D52+E52</f>
        <v>0</v>
      </c>
      <c r="G52" s="45">
        <f t="shared" ref="G52" si="34">SUM(G44:G51)</f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57"/>
      <c r="V52" s="57">
        <f>SUM(V44:V51)</f>
        <v>0</v>
      </c>
      <c r="W52" s="68"/>
      <c r="X52" s="45">
        <f>SUM(X44:X51)</f>
        <v>-504247.57147782581</v>
      </c>
      <c r="Y52" s="4"/>
      <c r="Z52" s="39">
        <f>X52/C52</f>
        <v>-1</v>
      </c>
      <c r="AA52" s="29">
        <f>X52/C52</f>
        <v>-1</v>
      </c>
      <c r="AB52" s="29"/>
      <c r="AC52" s="29"/>
      <c r="AD52" s="29"/>
      <c r="AE52" s="29"/>
      <c r="AF52" s="15">
        <f t="shared" si="29"/>
        <v>28834910.400000006</v>
      </c>
    </row>
    <row r="53" spans="1:51" x14ac:dyDescent="0.2">
      <c r="A53" s="11" t="s">
        <v>314</v>
      </c>
      <c r="B53" s="1"/>
      <c r="C53" s="8">
        <v>1467435.2011306034</v>
      </c>
      <c r="D53" s="46">
        <f t="shared" ref="D53:U53" si="35">D41+D52</f>
        <v>95865.029864099997</v>
      </c>
      <c r="E53" s="58">
        <f t="shared" si="35"/>
        <v>309176.03878190002</v>
      </c>
      <c r="F53" s="58">
        <f t="shared" si="35"/>
        <v>405041.06864600006</v>
      </c>
      <c r="G53" s="52">
        <f t="shared" si="35"/>
        <v>0</v>
      </c>
      <c r="H53" s="97">
        <f t="shared" si="35"/>
        <v>59247.347615710001</v>
      </c>
      <c r="I53" s="97">
        <f t="shared" si="35"/>
        <v>135359.9914011558</v>
      </c>
      <c r="J53" s="97">
        <f t="shared" si="35"/>
        <v>64474.165039999993</v>
      </c>
      <c r="K53" s="97">
        <f t="shared" si="35"/>
        <v>66715.725933900001</v>
      </c>
      <c r="L53" s="97">
        <f t="shared" si="35"/>
        <v>86874.355592308333</v>
      </c>
      <c r="M53" s="97">
        <f t="shared" si="35"/>
        <v>58815.54820243334</v>
      </c>
      <c r="N53" s="97">
        <f t="shared" si="35"/>
        <v>85127.142083999992</v>
      </c>
      <c r="O53" s="97">
        <f t="shared" si="35"/>
        <v>198509.45903189492</v>
      </c>
      <c r="P53" s="97">
        <f t="shared" si="35"/>
        <v>189949.37417403335</v>
      </c>
      <c r="Q53" s="97">
        <f t="shared" si="35"/>
        <v>548113.04722279496</v>
      </c>
      <c r="R53" s="97">
        <f t="shared" si="35"/>
        <v>43932.020462590001</v>
      </c>
      <c r="S53" s="97">
        <f t="shared" si="35"/>
        <v>38797.09840462498</v>
      </c>
      <c r="T53" s="97">
        <f t="shared" si="35"/>
        <v>199361.99050490002</v>
      </c>
      <c r="U53" s="137">
        <f t="shared" si="35"/>
        <v>0</v>
      </c>
      <c r="V53" s="46">
        <f>V52+V41</f>
        <v>1775277.2656703456</v>
      </c>
      <c r="W53" s="69">
        <f>W41+W52</f>
        <v>2180318.3343163459</v>
      </c>
      <c r="X53" s="46">
        <f>X41+X52</f>
        <v>712883.13283852022</v>
      </c>
      <c r="Y53" s="4"/>
      <c r="Z53" s="39">
        <f>X53/C53</f>
        <v>0.48580212079502433</v>
      </c>
      <c r="AA53" s="29"/>
      <c r="AB53" s="152">
        <f>X53/C53</f>
        <v>0.48580212079502433</v>
      </c>
      <c r="AC53" s="29"/>
      <c r="AD53" s="148" t="s">
        <v>67</v>
      </c>
      <c r="AE53" s="15">
        <f>SUM(AE9:AE39)</f>
        <v>39736.735499999995</v>
      </c>
      <c r="AF53" s="15">
        <f>SUM(AF9:AF39)</f>
        <v>1431762.2322666668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X53" s="15">
        <f>SUM(AX9:AX39)</f>
        <v>748556.10204967891</v>
      </c>
      <c r="AY53" s="127">
        <f>AX53/AF53</f>
        <v>0.52282151685522305</v>
      </c>
    </row>
    <row r="54" spans="1:51" x14ac:dyDescent="0.2">
      <c r="A54" s="4"/>
      <c r="B54" s="4"/>
      <c r="C54" s="7"/>
      <c r="D54" s="45"/>
      <c r="E54" s="57"/>
      <c r="F54" s="57"/>
      <c r="G54" s="4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57"/>
      <c r="V54" s="57"/>
      <c r="W54" s="68"/>
      <c r="X54" s="45"/>
      <c r="Y54" s="4"/>
      <c r="Z54" s="4"/>
      <c r="AD54" s="103" t="s">
        <v>347</v>
      </c>
      <c r="AE54" s="15">
        <f>AE53*(0.0765+0.0019+0.2152)</f>
        <v>11666.705542799997</v>
      </c>
      <c r="AF54" s="74"/>
      <c r="AN54" s="103"/>
    </row>
    <row r="55" spans="1:51" x14ac:dyDescent="0.2">
      <c r="A55" s="1" t="s">
        <v>2</v>
      </c>
      <c r="B55" s="1"/>
      <c r="C55" s="30" t="s">
        <v>20</v>
      </c>
      <c r="D55" s="47" t="s">
        <v>99</v>
      </c>
      <c r="E55" s="59" t="s">
        <v>52</v>
      </c>
      <c r="F55" s="59" t="s">
        <v>19</v>
      </c>
      <c r="G55" s="47" t="s">
        <v>49</v>
      </c>
      <c r="H55" s="30" t="s">
        <v>55</v>
      </c>
      <c r="I55" s="30" t="s">
        <v>24</v>
      </c>
      <c r="J55" s="30" t="s">
        <v>139</v>
      </c>
      <c r="K55" s="30" t="s">
        <v>223</v>
      </c>
      <c r="L55" s="30" t="s">
        <v>51</v>
      </c>
      <c r="M55" s="30" t="s">
        <v>62</v>
      </c>
      <c r="N55" s="120" t="s">
        <v>300</v>
      </c>
      <c r="O55" s="30" t="s">
        <v>220</v>
      </c>
      <c r="P55" s="30" t="s">
        <v>205</v>
      </c>
      <c r="Q55" s="30" t="s">
        <v>206</v>
      </c>
      <c r="R55" s="120" t="s">
        <v>306</v>
      </c>
      <c r="S55" s="30" t="s">
        <v>147</v>
      </c>
      <c r="T55" s="30" t="s">
        <v>110</v>
      </c>
      <c r="U55" s="59" t="s">
        <v>58</v>
      </c>
      <c r="V55" s="59" t="s">
        <v>25</v>
      </c>
      <c r="W55" s="70" t="s">
        <v>20</v>
      </c>
      <c r="X55" s="47" t="s">
        <v>60</v>
      </c>
      <c r="Y55" s="4"/>
      <c r="Z55" s="4"/>
      <c r="AD55" s="103" t="s">
        <v>344</v>
      </c>
      <c r="AE55" s="15">
        <f>AE53+AE54</f>
        <v>51403.44104279999</v>
      </c>
      <c r="AF55" s="15"/>
    </row>
    <row r="56" spans="1:51" x14ac:dyDescent="0.2">
      <c r="A56" s="4" t="s">
        <v>305</v>
      </c>
      <c r="B56" s="4"/>
      <c r="C56" s="7">
        <v>18600</v>
      </c>
      <c r="D56" s="45"/>
      <c r="E56" s="57">
        <v>1200</v>
      </c>
      <c r="F56" s="57">
        <f>D56+E56</f>
        <v>1200</v>
      </c>
      <c r="G56" s="45"/>
      <c r="H56" s="7"/>
      <c r="I56" s="7"/>
      <c r="J56" s="7"/>
      <c r="K56" s="7">
        <v>600</v>
      </c>
      <c r="L56" s="7"/>
      <c r="M56" s="7"/>
      <c r="N56" s="7">
        <v>960</v>
      </c>
      <c r="O56" s="7"/>
      <c r="P56" s="7"/>
      <c r="Q56" s="7">
        <v>3300</v>
      </c>
      <c r="R56" s="7"/>
      <c r="S56" s="7"/>
      <c r="T56" s="7"/>
      <c r="U56" s="57">
        <v>2400</v>
      </c>
      <c r="V56" s="57">
        <f>SUM(G56:U56)</f>
        <v>7260</v>
      </c>
      <c r="W56" s="68">
        <f t="shared" ref="W56:W77" si="36">F56+V56</f>
        <v>8460</v>
      </c>
      <c r="X56" s="45">
        <f t="shared" ref="X56:X76" si="37">W56-C56</f>
        <v>-10140</v>
      </c>
      <c r="Y56" s="4"/>
      <c r="Z56" s="4" t="s">
        <v>119</v>
      </c>
      <c r="AF56" s="15"/>
    </row>
    <row r="57" spans="1:51" x14ac:dyDescent="0.2">
      <c r="A57" s="4" t="s">
        <v>146</v>
      </c>
      <c r="B57" s="4"/>
      <c r="C57" s="7">
        <v>32416</v>
      </c>
      <c r="D57" s="45"/>
      <c r="E57" s="57">
        <v>2000</v>
      </c>
      <c r="F57" s="57">
        <f t="shared" ref="F57:F69" si="38">D57+E57</f>
        <v>2000</v>
      </c>
      <c r="G57" s="45"/>
      <c r="H57" s="7"/>
      <c r="I57" s="7"/>
      <c r="J57" s="7"/>
      <c r="K57" s="7"/>
      <c r="L57" s="7">
        <v>300</v>
      </c>
      <c r="M57" s="7">
        <v>480</v>
      </c>
      <c r="N57" s="7">
        <v>280</v>
      </c>
      <c r="O57" s="7">
        <v>3600</v>
      </c>
      <c r="P57" s="7"/>
      <c r="Q57" s="7"/>
      <c r="R57" s="7"/>
      <c r="S57" s="7"/>
      <c r="T57" s="7">
        <v>1000</v>
      </c>
      <c r="U57" s="57">
        <v>25000</v>
      </c>
      <c r="V57" s="57">
        <f t="shared" ref="V57:V77" si="39">G57+H57+I57+J57+K57+L57+M57+N57+O57+P57+Q57+R57+S57+T57+U57</f>
        <v>30660</v>
      </c>
      <c r="W57" s="68">
        <f t="shared" si="36"/>
        <v>32660</v>
      </c>
      <c r="X57" s="45">
        <f t="shared" si="37"/>
        <v>244</v>
      </c>
      <c r="Y57" s="4"/>
      <c r="Z57" s="4" t="s">
        <v>190</v>
      </c>
      <c r="AC57" s="103">
        <v>146790.48000000001</v>
      </c>
      <c r="AF57" s="15"/>
    </row>
    <row r="58" spans="1:51" x14ac:dyDescent="0.2">
      <c r="A58" s="4" t="s">
        <v>298</v>
      </c>
      <c r="B58" s="4"/>
      <c r="C58" s="7">
        <v>5700</v>
      </c>
      <c r="D58" s="45"/>
      <c r="E58" s="57">
        <f>350*12</f>
        <v>4200</v>
      </c>
      <c r="F58" s="57">
        <f t="shared" si="38"/>
        <v>4200</v>
      </c>
      <c r="G58" s="45"/>
      <c r="H58" s="7"/>
      <c r="I58" s="7"/>
      <c r="J58" s="7"/>
      <c r="K58" s="7"/>
      <c r="L58" s="7"/>
      <c r="M58" s="7"/>
      <c r="N58" s="7"/>
      <c r="O58" s="7"/>
      <c r="P58" s="7"/>
      <c r="Q58" s="7">
        <v>24000</v>
      </c>
      <c r="R58" s="7"/>
      <c r="S58" s="7"/>
      <c r="T58" s="7"/>
      <c r="U58" s="57">
        <v>1200</v>
      </c>
      <c r="V58" s="57">
        <f t="shared" si="39"/>
        <v>25200</v>
      </c>
      <c r="W58" s="68">
        <f t="shared" si="36"/>
        <v>29400</v>
      </c>
      <c r="X58" s="45">
        <f t="shared" si="37"/>
        <v>23700</v>
      </c>
      <c r="Y58" s="4"/>
      <c r="Z58" s="4" t="s">
        <v>120</v>
      </c>
      <c r="AC58" s="15">
        <f>W119</f>
        <v>-207609.32089244577</v>
      </c>
      <c r="AF58" s="15"/>
    </row>
    <row r="59" spans="1:51" x14ac:dyDescent="0.2">
      <c r="A59" s="4" t="s">
        <v>148</v>
      </c>
      <c r="B59" s="4"/>
      <c r="C59" s="7">
        <v>52050</v>
      </c>
      <c r="D59" s="45"/>
      <c r="E59" s="57"/>
      <c r="F59" s="57"/>
      <c r="G59" s="45"/>
      <c r="H59" s="7"/>
      <c r="I59" s="7"/>
      <c r="J59" s="7"/>
      <c r="K59" s="7"/>
      <c r="L59" s="7"/>
      <c r="M59" s="7"/>
      <c r="N59" s="7"/>
      <c r="O59" s="7">
        <v>3750</v>
      </c>
      <c r="P59" s="7"/>
      <c r="Q59" s="7">
        <v>12000</v>
      </c>
      <c r="R59" s="7"/>
      <c r="S59" s="7"/>
      <c r="T59" s="7">
        <v>3000</v>
      </c>
      <c r="U59" s="57">
        <v>29250</v>
      </c>
      <c r="V59" s="57">
        <f t="shared" si="39"/>
        <v>48000</v>
      </c>
      <c r="W59" s="68">
        <f t="shared" si="36"/>
        <v>48000</v>
      </c>
      <c r="X59" s="45">
        <f t="shared" si="37"/>
        <v>-4050</v>
      </c>
      <c r="Y59" s="4"/>
      <c r="Z59" s="4" t="s">
        <v>149</v>
      </c>
      <c r="AC59" s="15">
        <f>AC57+AC58</f>
        <v>-60818.840892445762</v>
      </c>
      <c r="AF59" s="15"/>
    </row>
    <row r="60" spans="1:51" x14ac:dyDescent="0.2">
      <c r="A60" s="4" t="s">
        <v>32</v>
      </c>
      <c r="B60" s="4"/>
      <c r="C60" s="7">
        <v>5220</v>
      </c>
      <c r="D60" s="45">
        <v>540</v>
      </c>
      <c r="E60" s="57">
        <v>2260</v>
      </c>
      <c r="F60" s="57">
        <f t="shared" si="38"/>
        <v>2800</v>
      </c>
      <c r="G60" s="45"/>
      <c r="H60" s="7">
        <v>360</v>
      </c>
      <c r="I60" s="7"/>
      <c r="J60" s="7"/>
      <c r="K60" s="7"/>
      <c r="L60" s="7">
        <v>240</v>
      </c>
      <c r="M60" s="7">
        <v>125</v>
      </c>
      <c r="N60" s="7">
        <v>180</v>
      </c>
      <c r="O60" s="7"/>
      <c r="P60" s="7">
        <v>360</v>
      </c>
      <c r="Q60" s="7">
        <v>720</v>
      </c>
      <c r="R60" s="7"/>
      <c r="S60" s="7"/>
      <c r="T60" s="7"/>
      <c r="U60" s="57">
        <f>300+350+500+125+125</f>
        <v>1400</v>
      </c>
      <c r="V60" s="57">
        <f t="shared" si="39"/>
        <v>3385</v>
      </c>
      <c r="W60" s="68">
        <f t="shared" si="36"/>
        <v>6185</v>
      </c>
      <c r="X60" s="45">
        <f t="shared" si="37"/>
        <v>965</v>
      </c>
      <c r="Y60" s="4"/>
      <c r="Z60" s="4" t="s">
        <v>79</v>
      </c>
      <c r="AF60" s="15"/>
    </row>
    <row r="61" spans="1:51" x14ac:dyDescent="0.2">
      <c r="A61" s="4" t="s">
        <v>3</v>
      </c>
      <c r="B61" s="4"/>
      <c r="C61" s="7">
        <v>5568</v>
      </c>
      <c r="D61" s="45">
        <f>3900*0.4</f>
        <v>1560</v>
      </c>
      <c r="E61" s="57">
        <f>3900*0.6</f>
        <v>2340</v>
      </c>
      <c r="F61" s="143">
        <f t="shared" si="38"/>
        <v>3900</v>
      </c>
      <c r="G61" s="4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240</v>
      </c>
      <c r="U61" s="57">
        <f>(140*4)+(99*12)-T61</f>
        <v>1508</v>
      </c>
      <c r="V61" s="57">
        <f t="shared" si="39"/>
        <v>1748</v>
      </c>
      <c r="W61" s="68">
        <f t="shared" si="36"/>
        <v>5648</v>
      </c>
      <c r="X61" s="45">
        <f t="shared" si="37"/>
        <v>80</v>
      </c>
      <c r="Y61" s="4"/>
      <c r="Z61" s="4" t="s">
        <v>150</v>
      </c>
      <c r="AF61" s="15"/>
    </row>
    <row r="62" spans="1:51" x14ac:dyDescent="0.2">
      <c r="A62" s="4" t="s">
        <v>4</v>
      </c>
      <c r="B62" s="4"/>
      <c r="C62" s="7">
        <v>7260</v>
      </c>
      <c r="D62" s="45">
        <v>1008</v>
      </c>
      <c r="E62" s="57">
        <f>4*840-1008</f>
        <v>2352</v>
      </c>
      <c r="F62" s="57">
        <f t="shared" si="38"/>
        <v>3360</v>
      </c>
      <c r="G62" s="45"/>
      <c r="H62" s="7">
        <v>840</v>
      </c>
      <c r="I62" s="7"/>
      <c r="J62" s="7"/>
      <c r="K62" s="7"/>
      <c r="L62" s="7">
        <v>840</v>
      </c>
      <c r="M62" s="7"/>
      <c r="N62" s="7"/>
      <c r="O62" s="7"/>
      <c r="P62" s="7">
        <v>840</v>
      </c>
      <c r="Q62" s="7">
        <v>1680</v>
      </c>
      <c r="R62" s="7"/>
      <c r="S62" s="7"/>
      <c r="T62" s="7"/>
      <c r="U62" s="57">
        <v>1320</v>
      </c>
      <c r="V62" s="57">
        <f t="shared" si="39"/>
        <v>5520</v>
      </c>
      <c r="W62" s="68">
        <f t="shared" si="36"/>
        <v>8880</v>
      </c>
      <c r="X62" s="45">
        <f t="shared" si="37"/>
        <v>1620</v>
      </c>
      <c r="Y62" s="4"/>
      <c r="Z62" s="4" t="s">
        <v>117</v>
      </c>
      <c r="AF62" s="15"/>
    </row>
    <row r="63" spans="1:51" x14ac:dyDescent="0.2">
      <c r="A63" s="4" t="s">
        <v>5</v>
      </c>
      <c r="B63" s="4"/>
      <c r="C63" s="7">
        <v>2600</v>
      </c>
      <c r="D63" s="45"/>
      <c r="E63" s="57">
        <v>480</v>
      </c>
      <c r="F63" s="57">
        <f t="shared" si="38"/>
        <v>480</v>
      </c>
      <c r="G63" s="45"/>
      <c r="H63" s="7"/>
      <c r="I63" s="7"/>
      <c r="J63" s="7"/>
      <c r="K63" s="7"/>
      <c r="L63" s="7">
        <v>480</v>
      </c>
      <c r="M63" s="7">
        <v>120</v>
      </c>
      <c r="N63" s="7"/>
      <c r="O63" s="7"/>
      <c r="P63" s="7"/>
      <c r="Q63" s="7"/>
      <c r="R63" s="7"/>
      <c r="S63" s="7"/>
      <c r="T63" s="7"/>
      <c r="U63" s="57">
        <f>3960-M63-L63-480</f>
        <v>2880</v>
      </c>
      <c r="V63" s="57">
        <f t="shared" si="39"/>
        <v>3480</v>
      </c>
      <c r="W63" s="68">
        <f t="shared" si="36"/>
        <v>3960</v>
      </c>
      <c r="X63" s="45">
        <f t="shared" si="37"/>
        <v>1360</v>
      </c>
      <c r="Y63" s="4"/>
      <c r="Z63" s="4" t="s">
        <v>80</v>
      </c>
      <c r="AF63" s="15"/>
    </row>
    <row r="64" spans="1:51" x14ac:dyDescent="0.2">
      <c r="A64" s="4" t="s">
        <v>39</v>
      </c>
      <c r="B64" s="4"/>
      <c r="C64" s="7">
        <v>7200</v>
      </c>
      <c r="D64" s="45">
        <v>1440</v>
      </c>
      <c r="E64" s="57">
        <f>3600-1440</f>
        <v>2160</v>
      </c>
      <c r="F64" s="57">
        <f t="shared" si="38"/>
        <v>3600</v>
      </c>
      <c r="G64" s="45"/>
      <c r="H64" s="7">
        <v>1800</v>
      </c>
      <c r="I64" s="7"/>
      <c r="J64" s="7"/>
      <c r="K64" s="7"/>
      <c r="L64" s="7">
        <f>240+300</f>
        <v>540</v>
      </c>
      <c r="M64" s="7"/>
      <c r="N64" s="7"/>
      <c r="O64" s="7">
        <f>1440/12*10</f>
        <v>1200</v>
      </c>
      <c r="P64" s="7">
        <v>1200</v>
      </c>
      <c r="Q64" s="7">
        <v>6000</v>
      </c>
      <c r="R64" s="7"/>
      <c r="S64" s="7"/>
      <c r="T64" s="7"/>
      <c r="U64" s="57">
        <v>1200</v>
      </c>
      <c r="V64" s="57">
        <f t="shared" si="39"/>
        <v>11940</v>
      </c>
      <c r="W64" s="68">
        <f t="shared" si="36"/>
        <v>15540</v>
      </c>
      <c r="X64" s="45">
        <f t="shared" si="37"/>
        <v>8340</v>
      </c>
      <c r="Y64" s="4"/>
      <c r="Z64" s="4" t="s">
        <v>229</v>
      </c>
      <c r="AF64" s="15"/>
    </row>
    <row r="65" spans="1:32" x14ac:dyDescent="0.2">
      <c r="A65" s="4" t="s">
        <v>31</v>
      </c>
      <c r="B65" s="4"/>
      <c r="C65" s="7">
        <v>1680</v>
      </c>
      <c r="D65" s="45"/>
      <c r="E65" s="57">
        <v>1200</v>
      </c>
      <c r="F65" s="57">
        <f t="shared" si="38"/>
        <v>1200</v>
      </c>
      <c r="G65" s="4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57">
        <v>2400</v>
      </c>
      <c r="V65" s="57">
        <f t="shared" si="39"/>
        <v>2400</v>
      </c>
      <c r="W65" s="68">
        <f t="shared" si="36"/>
        <v>3600</v>
      </c>
      <c r="X65" s="45">
        <f t="shared" si="37"/>
        <v>1920</v>
      </c>
      <c r="Y65" s="4"/>
      <c r="Z65" s="4" t="s">
        <v>121</v>
      </c>
      <c r="AF65" s="15"/>
    </row>
    <row r="66" spans="1:32" x14ac:dyDescent="0.2">
      <c r="A66" s="4" t="s">
        <v>40</v>
      </c>
      <c r="B66" s="4"/>
      <c r="C66" s="7">
        <v>9748</v>
      </c>
      <c r="D66" s="45">
        <v>630</v>
      </c>
      <c r="E66" s="129">
        <f>3360-630</f>
        <v>2730</v>
      </c>
      <c r="F66" s="57">
        <f t="shared" si="38"/>
        <v>3360</v>
      </c>
      <c r="G66" s="51"/>
      <c r="H66" s="37">
        <f>768</f>
        <v>768</v>
      </c>
      <c r="I66" s="37">
        <f>414+250</f>
        <v>664</v>
      </c>
      <c r="J66" s="37">
        <v>414</v>
      </c>
      <c r="K66" s="37">
        <v>414</v>
      </c>
      <c r="L66" s="37">
        <v>768</v>
      </c>
      <c r="M66" s="37">
        <v>768</v>
      </c>
      <c r="N66" s="37">
        <v>768</v>
      </c>
      <c r="O66" s="37">
        <f>768*2</f>
        <v>1536</v>
      </c>
      <c r="P66" s="124">
        <f>768*2</f>
        <v>1536</v>
      </c>
      <c r="Q66" s="124">
        <v>4608</v>
      </c>
      <c r="R66" s="124">
        <v>5546</v>
      </c>
      <c r="S66" s="37">
        <v>414</v>
      </c>
      <c r="T66" s="37">
        <v>828</v>
      </c>
      <c r="U66" s="142">
        <v>600</v>
      </c>
      <c r="V66" s="57">
        <f t="shared" si="39"/>
        <v>19632</v>
      </c>
      <c r="W66" s="68">
        <f t="shared" si="36"/>
        <v>22992</v>
      </c>
      <c r="X66" s="45">
        <f t="shared" si="37"/>
        <v>13244</v>
      </c>
      <c r="Y66" s="4"/>
      <c r="Z66" s="4" t="s">
        <v>122</v>
      </c>
      <c r="AF66" s="15"/>
    </row>
    <row r="67" spans="1:32" x14ac:dyDescent="0.2">
      <c r="A67" t="s">
        <v>6</v>
      </c>
      <c r="C67" s="7">
        <v>10860</v>
      </c>
      <c r="D67" s="45">
        <v>1800</v>
      </c>
      <c r="E67" s="57">
        <f>5160-1800</f>
        <v>3360</v>
      </c>
      <c r="F67" s="57">
        <f t="shared" si="38"/>
        <v>5160</v>
      </c>
      <c r="G67" s="45"/>
      <c r="H67" s="7"/>
      <c r="I67" s="7"/>
      <c r="J67" s="7"/>
      <c r="K67" s="7"/>
      <c r="L67" s="7">
        <v>240</v>
      </c>
      <c r="M67" s="7">
        <v>120</v>
      </c>
      <c r="N67" s="7">
        <v>240</v>
      </c>
      <c r="O67" s="7"/>
      <c r="P67" s="7">
        <v>360</v>
      </c>
      <c r="Q67" s="7">
        <v>1200</v>
      </c>
      <c r="R67" s="7"/>
      <c r="S67" s="7">
        <v>240</v>
      </c>
      <c r="T67" s="7">
        <f>360+576</f>
        <v>936</v>
      </c>
      <c r="U67" s="57">
        <v>3600</v>
      </c>
      <c r="V67" s="57">
        <f t="shared" si="39"/>
        <v>6936</v>
      </c>
      <c r="W67" s="68">
        <f t="shared" si="36"/>
        <v>12096</v>
      </c>
      <c r="X67" s="45">
        <f t="shared" si="37"/>
        <v>1236</v>
      </c>
      <c r="Y67" s="4"/>
      <c r="Z67" s="4" t="s">
        <v>71</v>
      </c>
      <c r="AF67" s="15"/>
    </row>
    <row r="68" spans="1:32" x14ac:dyDescent="0.2">
      <c r="A68" t="s">
        <v>38</v>
      </c>
      <c r="C68" s="7">
        <v>4560</v>
      </c>
      <c r="D68" s="45">
        <v>1560</v>
      </c>
      <c r="E68" s="57">
        <f>3900-D68</f>
        <v>2340</v>
      </c>
      <c r="F68" s="57">
        <f t="shared" si="38"/>
        <v>3900</v>
      </c>
      <c r="G68" s="45"/>
      <c r="H68" s="7"/>
      <c r="I68" s="7"/>
      <c r="J68" s="7"/>
      <c r="K68" s="7"/>
      <c r="L68" s="7">
        <v>120</v>
      </c>
      <c r="M68" s="7">
        <v>60</v>
      </c>
      <c r="N68" s="7">
        <v>90</v>
      </c>
      <c r="O68" s="7"/>
      <c r="P68" s="7">
        <v>240</v>
      </c>
      <c r="Q68" s="7">
        <v>3600</v>
      </c>
      <c r="R68" s="7"/>
      <c r="S68" s="7"/>
      <c r="T68" s="7">
        <v>240</v>
      </c>
      <c r="U68" s="57">
        <v>120</v>
      </c>
      <c r="V68" s="57">
        <f t="shared" si="39"/>
        <v>4470</v>
      </c>
      <c r="W68" s="68">
        <f t="shared" si="36"/>
        <v>8370</v>
      </c>
      <c r="X68" s="45">
        <f t="shared" si="37"/>
        <v>3810</v>
      </c>
      <c r="Y68" s="4"/>
      <c r="Z68" s="4" t="s">
        <v>71</v>
      </c>
      <c r="AF68" s="15"/>
    </row>
    <row r="69" spans="1:32" x14ac:dyDescent="0.2">
      <c r="A69" s="21" t="s">
        <v>28</v>
      </c>
      <c r="B69" s="21"/>
      <c r="C69" s="7">
        <v>10320</v>
      </c>
      <c r="D69" s="45">
        <v>1800</v>
      </c>
      <c r="E69" s="57">
        <v>1200</v>
      </c>
      <c r="F69" s="57">
        <f t="shared" si="38"/>
        <v>3000</v>
      </c>
      <c r="G69" s="45"/>
      <c r="H69" s="7"/>
      <c r="I69" s="7"/>
      <c r="J69" s="7"/>
      <c r="K69" s="7"/>
      <c r="L69" s="7">
        <v>120</v>
      </c>
      <c r="M69" s="7">
        <v>240</v>
      </c>
      <c r="N69" s="7">
        <v>240</v>
      </c>
      <c r="O69" s="7"/>
      <c r="P69" s="7">
        <v>480</v>
      </c>
      <c r="Q69" s="7">
        <f>9000-Q68</f>
        <v>5400</v>
      </c>
      <c r="R69" s="7"/>
      <c r="S69" s="7"/>
      <c r="T69" s="7">
        <v>2400</v>
      </c>
      <c r="U69" s="57">
        <v>600</v>
      </c>
      <c r="V69" s="57">
        <f t="shared" si="39"/>
        <v>9480</v>
      </c>
      <c r="W69" s="68">
        <f t="shared" si="36"/>
        <v>12480</v>
      </c>
      <c r="X69" s="45">
        <f t="shared" si="37"/>
        <v>2160</v>
      </c>
      <c r="Y69" s="4"/>
      <c r="Z69" s="4" t="s">
        <v>71</v>
      </c>
      <c r="AF69" s="15"/>
    </row>
    <row r="70" spans="1:32" x14ac:dyDescent="0.2">
      <c r="A70" s="4" t="s">
        <v>7</v>
      </c>
      <c r="B70" s="4"/>
      <c r="C70" s="7">
        <v>4920</v>
      </c>
      <c r="D70" s="45"/>
      <c r="E70" s="57"/>
      <c r="F70" s="57"/>
      <c r="G70" s="4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57">
        <v>6400</v>
      </c>
      <c r="V70" s="57">
        <f t="shared" si="39"/>
        <v>6400</v>
      </c>
      <c r="W70" s="68">
        <f t="shared" si="36"/>
        <v>6400</v>
      </c>
      <c r="X70" s="45">
        <f t="shared" si="37"/>
        <v>1480</v>
      </c>
      <c r="Y70" s="4"/>
      <c r="Z70" s="4" t="s">
        <v>112</v>
      </c>
      <c r="AF70" s="15"/>
    </row>
    <row r="71" spans="1:32" x14ac:dyDescent="0.2">
      <c r="A71" s="4" t="s">
        <v>8</v>
      </c>
      <c r="B71" s="4"/>
      <c r="C71" s="7">
        <v>52910</v>
      </c>
      <c r="D71" s="45"/>
      <c r="E71" s="57">
        <f>20400-D71</f>
        <v>20400</v>
      </c>
      <c r="F71" s="57">
        <f t="shared" ref="F71:F76" si="40">D71+E71</f>
        <v>20400</v>
      </c>
      <c r="G71" s="45"/>
      <c r="H71" s="7"/>
      <c r="I71" s="7"/>
      <c r="J71" s="7"/>
      <c r="K71" s="7"/>
      <c r="L71" s="7">
        <f>450*12</f>
        <v>5400</v>
      </c>
      <c r="M71" s="7">
        <v>1800</v>
      </c>
      <c r="N71" s="7">
        <f>3144-432</f>
        <v>2712</v>
      </c>
      <c r="O71" s="7"/>
      <c r="P71" s="7"/>
      <c r="Q71" s="7">
        <f>450*3*12</f>
        <v>16200</v>
      </c>
      <c r="R71" s="7"/>
      <c r="S71" s="7"/>
      <c r="T71" s="7">
        <f>5400</f>
        <v>5400</v>
      </c>
      <c r="U71" s="57">
        <v>9000</v>
      </c>
      <c r="V71" s="57">
        <f t="shared" si="39"/>
        <v>40512</v>
      </c>
      <c r="W71" s="68">
        <f t="shared" si="36"/>
        <v>60912</v>
      </c>
      <c r="X71" s="45">
        <f t="shared" si="37"/>
        <v>8002</v>
      </c>
      <c r="Y71" s="4"/>
      <c r="Z71" s="4" t="s">
        <v>113</v>
      </c>
      <c r="AF71" s="15"/>
    </row>
    <row r="72" spans="1:32" x14ac:dyDescent="0.2">
      <c r="A72" s="4" t="s">
        <v>9</v>
      </c>
      <c r="B72" s="4"/>
      <c r="C72" s="7">
        <v>5220</v>
      </c>
      <c r="D72" s="45"/>
      <c r="E72" s="57">
        <v>360</v>
      </c>
      <c r="F72" s="57">
        <f t="shared" si="40"/>
        <v>360</v>
      </c>
      <c r="G72" s="4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57">
        <v>360</v>
      </c>
      <c r="V72" s="57">
        <f t="shared" si="39"/>
        <v>360</v>
      </c>
      <c r="W72" s="68">
        <f t="shared" si="36"/>
        <v>720</v>
      </c>
      <c r="X72" s="45">
        <f t="shared" si="37"/>
        <v>-4500</v>
      </c>
      <c r="Y72" s="4"/>
      <c r="Z72" s="4" t="s">
        <v>152</v>
      </c>
      <c r="AA72" s="15"/>
      <c r="AB72" s="15"/>
      <c r="AC72" s="15"/>
      <c r="AD72" s="15"/>
      <c r="AE72" s="15"/>
      <c r="AF72" s="15"/>
    </row>
    <row r="73" spans="1:32" x14ac:dyDescent="0.2">
      <c r="A73" s="4" t="s">
        <v>145</v>
      </c>
      <c r="B73" s="4"/>
      <c r="C73" s="7">
        <v>697840.54</v>
      </c>
      <c r="D73" s="45"/>
      <c r="E73" s="57"/>
      <c r="F73" s="57"/>
      <c r="G73" s="45"/>
      <c r="H73" s="7"/>
      <c r="I73" s="7"/>
      <c r="J73" s="7"/>
      <c r="K73" s="7"/>
      <c r="L73" s="7"/>
      <c r="M73" s="7"/>
      <c r="N73" s="7"/>
      <c r="O73" s="7"/>
      <c r="P73" s="7">
        <v>68000</v>
      </c>
      <c r="Q73" s="7"/>
      <c r="R73" s="7"/>
      <c r="S73" s="7"/>
      <c r="T73" s="7">
        <f>6000+210</f>
        <v>6210</v>
      </c>
      <c r="U73" s="57"/>
      <c r="V73" s="57">
        <f t="shared" si="39"/>
        <v>74210</v>
      </c>
      <c r="W73" s="68">
        <f t="shared" si="36"/>
        <v>74210</v>
      </c>
      <c r="X73" s="45">
        <f t="shared" si="37"/>
        <v>-623630.54</v>
      </c>
      <c r="Y73" s="4"/>
      <c r="Z73" s="4" t="s">
        <v>151</v>
      </c>
      <c r="AA73" s="15"/>
      <c r="AB73" s="15"/>
      <c r="AC73" s="15"/>
      <c r="AD73" s="15"/>
      <c r="AE73" s="15"/>
      <c r="AF73" s="15"/>
    </row>
    <row r="74" spans="1:32" x14ac:dyDescent="0.2">
      <c r="A74" s="4" t="s">
        <v>184</v>
      </c>
      <c r="B74" s="4"/>
      <c r="C74" s="7">
        <v>39005</v>
      </c>
      <c r="D74" s="45">
        <v>2160</v>
      </c>
      <c r="E74" s="57">
        <f>7680-D74</f>
        <v>5520</v>
      </c>
      <c r="F74" s="57">
        <f t="shared" si="40"/>
        <v>7680</v>
      </c>
      <c r="G74" s="45"/>
      <c r="H74" s="7">
        <f>36*12</f>
        <v>432</v>
      </c>
      <c r="I74" s="7">
        <f t="shared" ref="I74:J74" si="41">36*12</f>
        <v>432</v>
      </c>
      <c r="J74" s="7">
        <f t="shared" si="41"/>
        <v>432</v>
      </c>
      <c r="K74" s="7">
        <v>720</v>
      </c>
      <c r="L74" s="7">
        <f>36*12+10*12</f>
        <v>552</v>
      </c>
      <c r="M74" s="7">
        <v>720</v>
      </c>
      <c r="N74" s="7">
        <f>1200+36*12</f>
        <v>1632</v>
      </c>
      <c r="O74" s="7">
        <f>36*12*2</f>
        <v>864</v>
      </c>
      <c r="P74" s="7">
        <f>36*12*2</f>
        <v>864</v>
      </c>
      <c r="Q74" s="7">
        <f>600+3120</f>
        <v>3720</v>
      </c>
      <c r="R74" s="7"/>
      <c r="S74" s="7">
        <f>36*12</f>
        <v>432</v>
      </c>
      <c r="T74" s="7">
        <f>36*12*2+30*12</f>
        <v>1224</v>
      </c>
      <c r="U74" s="57">
        <v>21000</v>
      </c>
      <c r="V74" s="57">
        <f t="shared" si="39"/>
        <v>33024</v>
      </c>
      <c r="W74" s="68">
        <f t="shared" si="36"/>
        <v>40704</v>
      </c>
      <c r="X74" s="45">
        <f t="shared" si="37"/>
        <v>1699</v>
      </c>
      <c r="Y74" s="4"/>
      <c r="Z74" s="4" t="s">
        <v>95</v>
      </c>
      <c r="AF74" s="15"/>
    </row>
    <row r="75" spans="1:32" x14ac:dyDescent="0.2">
      <c r="A75" s="4" t="s">
        <v>111</v>
      </c>
      <c r="B75" s="4"/>
      <c r="C75" s="7">
        <v>40004</v>
      </c>
      <c r="D75" s="45">
        <v>4200</v>
      </c>
      <c r="E75" s="57">
        <f>6600-D75</f>
        <v>2400</v>
      </c>
      <c r="F75" s="57">
        <f t="shared" si="40"/>
        <v>6600</v>
      </c>
      <c r="G75" s="45"/>
      <c r="H75" s="7">
        <v>2400</v>
      </c>
      <c r="I75" s="7">
        <v>1800</v>
      </c>
      <c r="J75" s="7">
        <v>1800</v>
      </c>
      <c r="K75" s="7">
        <v>1800</v>
      </c>
      <c r="L75" s="7">
        <v>2400</v>
      </c>
      <c r="M75" s="7">
        <v>1800</v>
      </c>
      <c r="N75" s="7">
        <v>1680</v>
      </c>
      <c r="O75" s="7">
        <f>5800+3600</f>
        <v>9400</v>
      </c>
      <c r="P75" s="7">
        <v>4800</v>
      </c>
      <c r="Q75" s="7">
        <v>3360</v>
      </c>
      <c r="R75" s="7"/>
      <c r="S75" s="7">
        <v>1200</v>
      </c>
      <c r="T75" s="7">
        <f>3600+984</f>
        <v>4584</v>
      </c>
      <c r="U75" s="57">
        <v>0</v>
      </c>
      <c r="V75" s="57">
        <f t="shared" si="39"/>
        <v>37024</v>
      </c>
      <c r="W75" s="68">
        <f t="shared" si="36"/>
        <v>43624</v>
      </c>
      <c r="X75" s="45">
        <f t="shared" si="37"/>
        <v>3620</v>
      </c>
      <c r="Y75" s="4"/>
      <c r="Z75" s="4" t="s">
        <v>185</v>
      </c>
      <c r="AA75" s="79"/>
      <c r="AB75" s="79"/>
      <c r="AC75" s="79"/>
      <c r="AD75" s="79"/>
      <c r="AE75" s="79"/>
      <c r="AF75" s="15"/>
    </row>
    <row r="76" spans="1:32" x14ac:dyDescent="0.2">
      <c r="A76" s="4" t="s">
        <v>59</v>
      </c>
      <c r="B76" s="4"/>
      <c r="C76" s="7">
        <v>5820</v>
      </c>
      <c r="D76" s="45"/>
      <c r="E76" s="57">
        <v>600</v>
      </c>
      <c r="F76" s="57">
        <f t="shared" si="40"/>
        <v>600</v>
      </c>
      <c r="G76" s="45"/>
      <c r="H76" s="7"/>
      <c r="I76" s="7"/>
      <c r="J76" s="7"/>
      <c r="K76" s="7"/>
      <c r="L76" s="7">
        <v>300</v>
      </c>
      <c r="M76" s="7">
        <v>300</v>
      </c>
      <c r="N76" s="7">
        <v>200</v>
      </c>
      <c r="O76" s="7"/>
      <c r="P76" s="7">
        <v>600</v>
      </c>
      <c r="Q76" s="7"/>
      <c r="R76" s="7"/>
      <c r="S76" s="7"/>
      <c r="T76" s="7">
        <v>600</v>
      </c>
      <c r="U76" s="57">
        <v>3000</v>
      </c>
      <c r="V76" s="57">
        <f t="shared" si="39"/>
        <v>5000</v>
      </c>
      <c r="W76" s="68">
        <f t="shared" si="36"/>
        <v>5600</v>
      </c>
      <c r="X76" s="45">
        <f t="shared" si="37"/>
        <v>-220</v>
      </c>
      <c r="Y76" s="4"/>
      <c r="Z76" s="4" t="s">
        <v>72</v>
      </c>
      <c r="AA76" s="79"/>
      <c r="AB76" s="79"/>
      <c r="AC76" s="79"/>
      <c r="AD76" s="79"/>
      <c r="AE76" s="79"/>
      <c r="AF76" s="15"/>
    </row>
    <row r="77" spans="1:32" x14ac:dyDescent="0.2">
      <c r="A77" s="4" t="s">
        <v>224</v>
      </c>
      <c r="B77" s="4"/>
      <c r="C77" s="7">
        <v>3135.9133333333325</v>
      </c>
      <c r="D77" s="45"/>
      <c r="E77" s="57"/>
      <c r="F77" s="57"/>
      <c r="G77" s="45"/>
      <c r="H77" s="7"/>
      <c r="I77" s="7"/>
      <c r="J77" s="7"/>
      <c r="K77" s="7"/>
      <c r="L77" s="7">
        <f>10000-L71</f>
        <v>4600</v>
      </c>
      <c r="M77" s="7"/>
      <c r="N77" s="7">
        <v>4870</v>
      </c>
      <c r="O77" s="7">
        <f>(O91*0.077)-O59-O72-O10</f>
        <v>10343.545533299999</v>
      </c>
      <c r="P77" s="7"/>
      <c r="Q77" s="7"/>
      <c r="R77" s="7"/>
      <c r="S77" s="7"/>
      <c r="T77" s="7">
        <v>10440</v>
      </c>
      <c r="U77" s="57"/>
      <c r="V77" s="57">
        <f t="shared" si="39"/>
        <v>30253.545533299999</v>
      </c>
      <c r="W77" s="68">
        <f t="shared" si="36"/>
        <v>30253.545533299999</v>
      </c>
      <c r="X77" s="45"/>
      <c r="Y77" s="4"/>
      <c r="Z77" s="4"/>
      <c r="AA77" s="79"/>
      <c r="AB77" s="79"/>
      <c r="AC77" s="79"/>
      <c r="AD77" s="79"/>
      <c r="AE77" s="79"/>
      <c r="AF77" s="15"/>
    </row>
    <row r="78" spans="1:32" x14ac:dyDescent="0.2">
      <c r="A78" s="1" t="s">
        <v>10</v>
      </c>
      <c r="B78" s="1"/>
      <c r="C78" s="7">
        <f>SUM(C56:C77)</f>
        <v>1022637.4533333334</v>
      </c>
      <c r="D78" s="45">
        <f t="shared" ref="D78:W78" si="42">SUM(D56:D77)</f>
        <v>16698</v>
      </c>
      <c r="E78" s="57">
        <f t="shared" si="42"/>
        <v>57102</v>
      </c>
      <c r="F78" s="45">
        <f t="shared" si="42"/>
        <v>73800</v>
      </c>
      <c r="G78" s="45">
        <f t="shared" si="42"/>
        <v>0</v>
      </c>
      <c r="H78" s="45">
        <f t="shared" si="42"/>
        <v>6600</v>
      </c>
      <c r="I78" s="7">
        <f t="shared" si="42"/>
        <v>2896</v>
      </c>
      <c r="J78" s="7">
        <f t="shared" si="42"/>
        <v>2646</v>
      </c>
      <c r="K78" s="7">
        <f t="shared" si="42"/>
        <v>3534</v>
      </c>
      <c r="L78" s="7">
        <f t="shared" si="42"/>
        <v>16900</v>
      </c>
      <c r="M78" s="7">
        <f t="shared" si="42"/>
        <v>6533</v>
      </c>
      <c r="N78" s="7">
        <f t="shared" si="42"/>
        <v>13852</v>
      </c>
      <c r="O78" s="7">
        <f t="shared" si="42"/>
        <v>30693.545533299999</v>
      </c>
      <c r="P78" s="7">
        <f t="shared" si="42"/>
        <v>79280</v>
      </c>
      <c r="Q78" s="7">
        <f t="shared" si="42"/>
        <v>85788</v>
      </c>
      <c r="R78" s="7">
        <f t="shared" si="42"/>
        <v>5546</v>
      </c>
      <c r="S78" s="7">
        <f t="shared" si="42"/>
        <v>2286</v>
      </c>
      <c r="T78" s="7">
        <f t="shared" si="42"/>
        <v>37102</v>
      </c>
      <c r="U78" s="57">
        <f t="shared" si="42"/>
        <v>113238</v>
      </c>
      <c r="V78" s="57">
        <f t="shared" si="42"/>
        <v>406894.54553330003</v>
      </c>
      <c r="W78" s="68">
        <f t="shared" si="42"/>
        <v>480694.54553330003</v>
      </c>
      <c r="X78" s="45">
        <f>W78-C78</f>
        <v>-541942.90780003334</v>
      </c>
      <c r="Y78" s="6"/>
      <c r="Z78" s="39"/>
      <c r="AA78" s="79"/>
      <c r="AB78" s="79"/>
      <c r="AC78" s="79"/>
      <c r="AD78" s="79"/>
      <c r="AE78" s="79"/>
      <c r="AF78" s="15"/>
    </row>
    <row r="79" spans="1:32" x14ac:dyDescent="0.2">
      <c r="A79" s="1"/>
      <c r="B79" s="1"/>
      <c r="C79" s="7"/>
      <c r="D79" s="45"/>
      <c r="E79" s="57"/>
      <c r="F79" s="45"/>
      <c r="G79" s="4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57"/>
      <c r="V79" s="57"/>
      <c r="W79" s="68"/>
      <c r="X79" s="45"/>
      <c r="Y79" s="6"/>
      <c r="Z79" s="39"/>
      <c r="AA79" s="79"/>
      <c r="AB79" s="79"/>
      <c r="AC79" s="79"/>
      <c r="AD79" s="79"/>
      <c r="AE79" s="79"/>
      <c r="AF79" s="15"/>
    </row>
    <row r="80" spans="1:32" x14ac:dyDescent="0.2">
      <c r="A80" s="1" t="s">
        <v>11</v>
      </c>
      <c r="B80" s="1"/>
      <c r="C80" s="8">
        <f>C53+C78</f>
        <v>2490072.6544639366</v>
      </c>
      <c r="D80" s="46">
        <f t="shared" ref="D80:U80" si="43">D78+D53</f>
        <v>112563.0298641</v>
      </c>
      <c r="E80" s="58">
        <f t="shared" si="43"/>
        <v>366278.03878190002</v>
      </c>
      <c r="F80" s="58">
        <f t="shared" si="43"/>
        <v>478841.06864600006</v>
      </c>
      <c r="G80" s="46">
        <f t="shared" si="43"/>
        <v>0</v>
      </c>
      <c r="H80" s="8">
        <f t="shared" si="43"/>
        <v>65847.347615709994</v>
      </c>
      <c r="I80" s="8">
        <f t="shared" si="43"/>
        <v>138255.9914011558</v>
      </c>
      <c r="J80" s="8">
        <f t="shared" si="43"/>
        <v>67120.165039999993</v>
      </c>
      <c r="K80" s="8">
        <f t="shared" si="43"/>
        <v>70249.725933900001</v>
      </c>
      <c r="L80" s="8">
        <f t="shared" si="43"/>
        <v>103774.35559230833</v>
      </c>
      <c r="M80" s="8">
        <f t="shared" si="43"/>
        <v>65348.54820243334</v>
      </c>
      <c r="N80" s="8">
        <f t="shared" si="43"/>
        <v>98979.142083999992</v>
      </c>
      <c r="O80" s="8">
        <f t="shared" si="43"/>
        <v>229203.00456519492</v>
      </c>
      <c r="P80" s="8">
        <f t="shared" si="43"/>
        <v>269229.37417403335</v>
      </c>
      <c r="Q80" s="8">
        <f t="shared" si="43"/>
        <v>633901.04722279496</v>
      </c>
      <c r="R80" s="8">
        <f t="shared" si="43"/>
        <v>49478.020462590001</v>
      </c>
      <c r="S80" s="8">
        <f t="shared" si="43"/>
        <v>41083.09840462498</v>
      </c>
      <c r="T80" s="8">
        <f t="shared" si="43"/>
        <v>236463.99050490002</v>
      </c>
      <c r="U80" s="58">
        <f t="shared" si="43"/>
        <v>113238</v>
      </c>
      <c r="V80" s="58">
        <f>SUM(G80:U80)</f>
        <v>2182171.8112036455</v>
      </c>
      <c r="W80" s="69">
        <f>W78+W53</f>
        <v>2661012.8798496458</v>
      </c>
      <c r="X80" s="46">
        <f>X53+X78</f>
        <v>170940.22503848688</v>
      </c>
      <c r="Y80" s="31"/>
      <c r="Z80" s="83">
        <f>X80/C80</f>
        <v>6.8648689720777215E-2</v>
      </c>
      <c r="AA80" s="79"/>
      <c r="AB80" s="79"/>
      <c r="AC80" s="79"/>
      <c r="AD80" s="79"/>
      <c r="AE80" s="79"/>
      <c r="AF80" s="15"/>
    </row>
    <row r="81" spans="1:32" x14ac:dyDescent="0.2">
      <c r="A81" s="4"/>
      <c r="B81" s="4"/>
      <c r="C81" s="4"/>
      <c r="D81" s="43"/>
      <c r="E81" s="56"/>
      <c r="F81" s="57"/>
      <c r="G81" s="4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7"/>
      <c r="V81" s="57"/>
      <c r="W81" s="71"/>
      <c r="X81" s="45"/>
      <c r="Y81" s="4"/>
      <c r="Z81" s="4"/>
      <c r="AF81" s="15"/>
    </row>
    <row r="82" spans="1:32" x14ac:dyDescent="0.2">
      <c r="A82" s="1" t="s">
        <v>12</v>
      </c>
      <c r="B82" s="1"/>
      <c r="C82" s="30" t="s">
        <v>20</v>
      </c>
      <c r="D82" s="47" t="s">
        <v>99</v>
      </c>
      <c r="E82" s="59" t="s">
        <v>52</v>
      </c>
      <c r="F82" s="59" t="s">
        <v>19</v>
      </c>
      <c r="G82" s="47" t="s">
        <v>49</v>
      </c>
      <c r="H82" s="30" t="s">
        <v>55</v>
      </c>
      <c r="I82" s="30" t="s">
        <v>24</v>
      </c>
      <c r="J82" s="30" t="s">
        <v>139</v>
      </c>
      <c r="K82" s="30" t="s">
        <v>223</v>
      </c>
      <c r="L82" s="30" t="s">
        <v>51</v>
      </c>
      <c r="M82" s="30" t="s">
        <v>62</v>
      </c>
      <c r="N82" s="120" t="s">
        <v>300</v>
      </c>
      <c r="O82" s="30" t="s">
        <v>220</v>
      </c>
      <c r="P82" s="30" t="s">
        <v>205</v>
      </c>
      <c r="Q82" s="30" t="s">
        <v>206</v>
      </c>
      <c r="R82" s="120" t="s">
        <v>306</v>
      </c>
      <c r="S82" s="30" t="s">
        <v>147</v>
      </c>
      <c r="T82" s="30" t="s">
        <v>110</v>
      </c>
      <c r="U82" s="59" t="s">
        <v>58</v>
      </c>
      <c r="V82" s="59" t="s">
        <v>25</v>
      </c>
      <c r="W82" s="70" t="s">
        <v>20</v>
      </c>
      <c r="X82" s="47" t="s">
        <v>60</v>
      </c>
      <c r="Y82" s="4"/>
      <c r="Z82" s="4"/>
      <c r="AF82" s="15"/>
    </row>
    <row r="83" spans="1:32" x14ac:dyDescent="0.2">
      <c r="A83" s="4" t="s">
        <v>13</v>
      </c>
      <c r="B83" s="4"/>
      <c r="C83" s="7">
        <v>180000</v>
      </c>
      <c r="D83" s="45"/>
      <c r="E83" s="57">
        <v>36000</v>
      </c>
      <c r="F83" s="57">
        <f>D83+E83</f>
        <v>36000</v>
      </c>
      <c r="G83" s="4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57">
        <v>144000</v>
      </c>
      <c r="V83" s="57">
        <f>G83+H83+I83+J83+K83+L83+M83+O83+P83+Q83+R83+S83+T83+U83</f>
        <v>144000</v>
      </c>
      <c r="W83" s="68">
        <f t="shared" ref="W83:W115" si="44">F83+V83</f>
        <v>180000</v>
      </c>
      <c r="X83" s="45">
        <f t="shared" ref="X83:X90" si="45">W83-C83</f>
        <v>0</v>
      </c>
      <c r="Y83" s="4"/>
      <c r="Z83" s="4" t="s">
        <v>73</v>
      </c>
      <c r="AF83" s="15"/>
    </row>
    <row r="84" spans="1:32" x14ac:dyDescent="0.2">
      <c r="A84" s="4" t="s">
        <v>42</v>
      </c>
      <c r="B84" s="4"/>
      <c r="C84" s="7">
        <v>12000</v>
      </c>
      <c r="D84" s="45"/>
      <c r="E84" s="143">
        <v>20000</v>
      </c>
      <c r="F84" s="57">
        <f t="shared" ref="F84:F115" si="46">D84+E84</f>
        <v>20000</v>
      </c>
      <c r="G84" s="4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57"/>
      <c r="V84" s="57">
        <f t="shared" ref="V84:V115" si="47">G84+H84+I84+J84+K84+L84+M84+O84+P84+Q84+R84+S84+T84+U84</f>
        <v>0</v>
      </c>
      <c r="W84" s="68">
        <f t="shared" si="44"/>
        <v>20000</v>
      </c>
      <c r="X84" s="45">
        <f t="shared" si="45"/>
        <v>8000</v>
      </c>
      <c r="Y84" s="4"/>
      <c r="Z84" s="4" t="s">
        <v>104</v>
      </c>
      <c r="AF84" s="15"/>
    </row>
    <row r="85" spans="1:32" x14ac:dyDescent="0.2">
      <c r="A85" s="4" t="s">
        <v>68</v>
      </c>
      <c r="B85" s="4"/>
      <c r="C85" s="7">
        <v>36000</v>
      </c>
      <c r="D85" s="45"/>
      <c r="E85" s="57">
        <v>2000</v>
      </c>
      <c r="F85" s="57">
        <f t="shared" si="46"/>
        <v>2000</v>
      </c>
      <c r="G85" s="4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31">
        <f>6000+30000</f>
        <v>36000</v>
      </c>
      <c r="V85" s="57">
        <f t="shared" si="47"/>
        <v>36000</v>
      </c>
      <c r="W85" s="68">
        <f t="shared" si="44"/>
        <v>38000</v>
      </c>
      <c r="X85" s="45">
        <f t="shared" si="45"/>
        <v>2000</v>
      </c>
      <c r="Y85" s="4"/>
      <c r="Z85" s="4" t="s">
        <v>191</v>
      </c>
      <c r="AF85" s="15"/>
    </row>
    <row r="86" spans="1:32" x14ac:dyDescent="0.2">
      <c r="A86" s="4" t="s">
        <v>43</v>
      </c>
      <c r="B86" s="4"/>
      <c r="C86" s="7">
        <v>108000</v>
      </c>
      <c r="D86" s="45"/>
      <c r="E86" s="57">
        <v>48000</v>
      </c>
      <c r="F86" s="57">
        <f t="shared" si="46"/>
        <v>48000</v>
      </c>
      <c r="G86" s="4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57">
        <v>72000</v>
      </c>
      <c r="V86" s="57">
        <f t="shared" si="47"/>
        <v>72000</v>
      </c>
      <c r="W86" s="68">
        <f t="shared" si="44"/>
        <v>120000</v>
      </c>
      <c r="X86" s="45">
        <f t="shared" si="45"/>
        <v>12000</v>
      </c>
      <c r="Y86" s="4"/>
      <c r="Z86" s="4" t="s">
        <v>105</v>
      </c>
      <c r="AF86" s="15"/>
    </row>
    <row r="87" spans="1:32" x14ac:dyDescent="0.2">
      <c r="A87" s="4" t="s">
        <v>44</v>
      </c>
      <c r="B87" s="4"/>
      <c r="C87" s="7">
        <v>12000</v>
      </c>
      <c r="D87" s="45"/>
      <c r="E87" s="57">
        <v>6000</v>
      </c>
      <c r="F87" s="57">
        <f t="shared" si="46"/>
        <v>6000</v>
      </c>
      <c r="G87" s="4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43">
        <v>36000</v>
      </c>
      <c r="V87" s="57">
        <f t="shared" si="47"/>
        <v>36000</v>
      </c>
      <c r="W87" s="68">
        <f t="shared" si="44"/>
        <v>42000</v>
      </c>
      <c r="X87" s="45">
        <f t="shared" si="45"/>
        <v>30000</v>
      </c>
      <c r="Y87" s="4"/>
      <c r="Z87" s="4" t="s">
        <v>186</v>
      </c>
      <c r="AF87" s="15"/>
    </row>
    <row r="88" spans="1:32" x14ac:dyDescent="0.2">
      <c r="A88" s="4" t="s">
        <v>57</v>
      </c>
      <c r="B88" s="4"/>
      <c r="C88" s="7">
        <v>50000</v>
      </c>
      <c r="D88" s="45"/>
      <c r="E88" s="57"/>
      <c r="F88" s="57">
        <f t="shared" si="46"/>
        <v>0</v>
      </c>
      <c r="G88" s="45"/>
      <c r="H88" s="7"/>
      <c r="I88" s="7"/>
      <c r="J88" s="7"/>
      <c r="K88" s="7"/>
      <c r="L88" s="7">
        <v>66600</v>
      </c>
      <c r="M88" s="7"/>
      <c r="N88" s="7"/>
      <c r="O88" s="7"/>
      <c r="P88" s="7"/>
      <c r="Q88" s="7"/>
      <c r="R88" s="7"/>
      <c r="S88" s="7"/>
      <c r="T88" s="7"/>
      <c r="U88" s="57"/>
      <c r="V88" s="57">
        <f t="shared" si="47"/>
        <v>66600</v>
      </c>
      <c r="W88" s="68">
        <f t="shared" si="44"/>
        <v>66600</v>
      </c>
      <c r="X88" s="45">
        <f t="shared" si="45"/>
        <v>16600</v>
      </c>
      <c r="Y88" s="4"/>
      <c r="Z88" s="4" t="s">
        <v>74</v>
      </c>
      <c r="AF88" s="15"/>
    </row>
    <row r="89" spans="1:32" x14ac:dyDescent="0.2">
      <c r="A89" s="4" t="s">
        <v>64</v>
      </c>
      <c r="B89" s="4"/>
      <c r="C89" s="7">
        <v>80000</v>
      </c>
      <c r="D89" s="45"/>
      <c r="E89" s="57"/>
      <c r="F89" s="57">
        <f t="shared" si="46"/>
        <v>0</v>
      </c>
      <c r="G89" s="45"/>
      <c r="H89" s="7"/>
      <c r="I89" s="7"/>
      <c r="J89" s="7"/>
      <c r="K89" s="7"/>
      <c r="L89" s="7">
        <v>66600</v>
      </c>
      <c r="M89" s="7"/>
      <c r="N89" s="7"/>
      <c r="O89" s="7"/>
      <c r="P89" s="7"/>
      <c r="Q89" s="7"/>
      <c r="R89" s="7"/>
      <c r="S89" s="7">
        <v>20000</v>
      </c>
      <c r="T89" s="7">
        <v>15000</v>
      </c>
      <c r="U89" s="57"/>
      <c r="V89" s="57">
        <f t="shared" si="47"/>
        <v>101600</v>
      </c>
      <c r="W89" s="68">
        <f t="shared" si="44"/>
        <v>101600</v>
      </c>
      <c r="X89" s="45">
        <f t="shared" si="45"/>
        <v>21600</v>
      </c>
      <c r="Y89" s="4"/>
      <c r="Z89" s="4" t="s">
        <v>74</v>
      </c>
      <c r="AF89" s="15"/>
    </row>
    <row r="90" spans="1:32" x14ac:dyDescent="0.2">
      <c r="A90" s="4" t="s">
        <v>63</v>
      </c>
      <c r="B90" s="4"/>
      <c r="C90" s="7">
        <v>50000</v>
      </c>
      <c r="D90" s="45"/>
      <c r="E90" s="57"/>
      <c r="F90" s="57">
        <f t="shared" si="46"/>
        <v>0</v>
      </c>
      <c r="G90" s="45"/>
      <c r="H90" s="7"/>
      <c r="I90" s="7"/>
      <c r="J90" s="7"/>
      <c r="K90" s="7"/>
      <c r="L90" s="7"/>
      <c r="M90" s="7">
        <v>66600</v>
      </c>
      <c r="N90" s="7">
        <v>85000</v>
      </c>
      <c r="O90" s="7"/>
      <c r="P90" s="7"/>
      <c r="Q90" s="7"/>
      <c r="R90" s="7"/>
      <c r="S90" s="7"/>
      <c r="T90" s="7"/>
      <c r="U90" s="57"/>
      <c r="V90" s="57">
        <f t="shared" si="47"/>
        <v>66600</v>
      </c>
      <c r="W90" s="68">
        <f t="shared" si="44"/>
        <v>66600</v>
      </c>
      <c r="X90" s="45">
        <f t="shared" si="45"/>
        <v>16600</v>
      </c>
      <c r="Y90" s="4"/>
      <c r="Z90" s="4" t="s">
        <v>74</v>
      </c>
      <c r="AF90" s="15"/>
    </row>
    <row r="91" spans="1:32" x14ac:dyDescent="0.2">
      <c r="A91" s="4" t="s">
        <v>222</v>
      </c>
      <c r="B91" s="4"/>
      <c r="C91" s="7">
        <v>119000</v>
      </c>
      <c r="D91" s="45"/>
      <c r="E91" s="57"/>
      <c r="F91" s="57">
        <f t="shared" si="46"/>
        <v>0</v>
      </c>
      <c r="G91" s="45"/>
      <c r="H91" s="7"/>
      <c r="I91" s="7"/>
      <c r="J91" s="7"/>
      <c r="K91" s="7"/>
      <c r="L91" s="7"/>
      <c r="M91" s="7"/>
      <c r="N91" s="7"/>
      <c r="O91" s="7">
        <f>44000*3+(17000*6)</f>
        <v>234000</v>
      </c>
      <c r="P91" s="7"/>
      <c r="Q91" s="7"/>
      <c r="R91" s="7"/>
      <c r="S91" s="7"/>
      <c r="T91" s="7"/>
      <c r="U91" s="57"/>
      <c r="V91" s="57">
        <f t="shared" si="47"/>
        <v>234000</v>
      </c>
      <c r="W91" s="68">
        <f t="shared" si="44"/>
        <v>234000</v>
      </c>
      <c r="X91" s="45"/>
      <c r="Y91" s="4"/>
      <c r="Z91" s="4"/>
      <c r="AF91" s="15"/>
    </row>
    <row r="92" spans="1:32" x14ac:dyDescent="0.2">
      <c r="A92" s="4" t="s">
        <v>99</v>
      </c>
      <c r="B92" s="4"/>
      <c r="C92" s="7">
        <v>154112</v>
      </c>
      <c r="D92" s="45">
        <v>136000</v>
      </c>
      <c r="E92" s="57"/>
      <c r="F92" s="57">
        <f t="shared" si="46"/>
        <v>136000</v>
      </c>
      <c r="G92" s="4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57"/>
      <c r="V92" s="57">
        <f t="shared" si="47"/>
        <v>0</v>
      </c>
      <c r="W92" s="68">
        <f t="shared" si="44"/>
        <v>136000</v>
      </c>
      <c r="X92" s="45">
        <f t="shared" ref="X92:X98" si="48">W92-C92</f>
        <v>-18112</v>
      </c>
      <c r="Y92" s="4"/>
      <c r="Z92" s="4" t="s">
        <v>114</v>
      </c>
      <c r="AF92" s="15"/>
    </row>
    <row r="93" spans="1:32" x14ac:dyDescent="0.2">
      <c r="A93" s="4" t="s">
        <v>45</v>
      </c>
      <c r="B93" s="4"/>
      <c r="C93" s="7">
        <v>5000</v>
      </c>
      <c r="D93" s="45"/>
      <c r="E93" s="57">
        <v>6000</v>
      </c>
      <c r="F93" s="57">
        <f t="shared" si="46"/>
        <v>6000</v>
      </c>
      <c r="G93" s="4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57"/>
      <c r="V93" s="57">
        <f t="shared" si="47"/>
        <v>0</v>
      </c>
      <c r="W93" s="68">
        <f t="shared" si="44"/>
        <v>6000</v>
      </c>
      <c r="X93" s="45">
        <f t="shared" si="48"/>
        <v>1000</v>
      </c>
      <c r="Y93" s="4"/>
      <c r="Z93" s="4" t="s">
        <v>74</v>
      </c>
      <c r="AF93" s="15"/>
    </row>
    <row r="94" spans="1:32" x14ac:dyDescent="0.2">
      <c r="A94" s="4" t="s">
        <v>61</v>
      </c>
      <c r="B94" s="4"/>
      <c r="C94" s="7">
        <v>20000</v>
      </c>
      <c r="D94" s="45"/>
      <c r="E94" s="57">
        <v>20000</v>
      </c>
      <c r="F94" s="57">
        <f t="shared" si="46"/>
        <v>20000</v>
      </c>
      <c r="G94" s="45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57"/>
      <c r="V94" s="57">
        <f t="shared" si="47"/>
        <v>0</v>
      </c>
      <c r="W94" s="68">
        <f t="shared" si="44"/>
        <v>20000</v>
      </c>
      <c r="X94" s="45">
        <f t="shared" si="48"/>
        <v>0</v>
      </c>
      <c r="Y94" s="4"/>
      <c r="Z94" s="4" t="s">
        <v>75</v>
      </c>
      <c r="AF94" s="15"/>
    </row>
    <row r="95" spans="1:32" x14ac:dyDescent="0.2">
      <c r="A95" s="4" t="s">
        <v>116</v>
      </c>
      <c r="B95" s="4"/>
      <c r="C95" s="7">
        <v>19600</v>
      </c>
      <c r="D95" s="45"/>
      <c r="E95" s="57">
        <v>10000</v>
      </c>
      <c r="F95" s="57">
        <f t="shared" si="46"/>
        <v>10000</v>
      </c>
      <c r="G95" s="45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57">
        <v>9000</v>
      </c>
      <c r="V95" s="57">
        <f t="shared" si="47"/>
        <v>9000</v>
      </c>
      <c r="W95" s="68">
        <f t="shared" si="44"/>
        <v>19000</v>
      </c>
      <c r="X95" s="45">
        <f t="shared" si="48"/>
        <v>-600</v>
      </c>
      <c r="Y95" s="4"/>
      <c r="Z95" s="4" t="s">
        <v>115</v>
      </c>
      <c r="AF95" s="15"/>
    </row>
    <row r="96" spans="1:32" x14ac:dyDescent="0.2">
      <c r="A96" s="4" t="s">
        <v>131</v>
      </c>
      <c r="B96" s="4"/>
      <c r="C96" s="7">
        <v>31972</v>
      </c>
      <c r="D96" s="45"/>
      <c r="E96" s="57"/>
      <c r="F96" s="57">
        <f t="shared" si="46"/>
        <v>0</v>
      </c>
      <c r="G96" s="45"/>
      <c r="H96" s="7"/>
      <c r="I96" s="7"/>
      <c r="J96" s="7"/>
      <c r="K96" s="7"/>
      <c r="L96" s="7"/>
      <c r="M96" s="7">
        <v>16000</v>
      </c>
      <c r="N96" s="7"/>
      <c r="O96" s="7"/>
      <c r="P96" s="7"/>
      <c r="Q96" s="7"/>
      <c r="R96" s="7"/>
      <c r="S96" s="7"/>
      <c r="T96" s="7"/>
      <c r="U96" s="57">
        <v>5000</v>
      </c>
      <c r="V96" s="57">
        <f t="shared" si="47"/>
        <v>21000</v>
      </c>
      <c r="W96" s="68">
        <f t="shared" si="44"/>
        <v>21000</v>
      </c>
      <c r="X96" s="45">
        <f t="shared" si="48"/>
        <v>-10972</v>
      </c>
      <c r="Y96" s="4"/>
      <c r="Z96" s="4"/>
      <c r="AF96" s="15"/>
    </row>
    <row r="97" spans="1:32" x14ac:dyDescent="0.2">
      <c r="A97" s="4" t="s">
        <v>127</v>
      </c>
      <c r="B97" s="4"/>
      <c r="C97" s="7">
        <v>110000</v>
      </c>
      <c r="D97" s="45"/>
      <c r="E97" s="57"/>
      <c r="F97" s="57">
        <f t="shared" si="46"/>
        <v>0</v>
      </c>
      <c r="G97" s="4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57"/>
      <c r="V97" s="57">
        <f t="shared" si="47"/>
        <v>0</v>
      </c>
      <c r="W97" s="68">
        <f t="shared" si="44"/>
        <v>0</v>
      </c>
      <c r="X97" s="45">
        <f t="shared" si="48"/>
        <v>-110000</v>
      </c>
      <c r="Y97" s="4"/>
      <c r="Z97" s="4" t="s">
        <v>123</v>
      </c>
      <c r="AF97" s="15"/>
    </row>
    <row r="98" spans="1:32" x14ac:dyDescent="0.2">
      <c r="A98" s="4" t="s">
        <v>221</v>
      </c>
      <c r="B98" s="4"/>
      <c r="C98" s="7">
        <v>10000</v>
      </c>
      <c r="D98" s="45"/>
      <c r="E98" s="57"/>
      <c r="F98" s="57">
        <f t="shared" si="46"/>
        <v>0</v>
      </c>
      <c r="G98" s="4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v>20000</v>
      </c>
      <c r="U98" s="57"/>
      <c r="V98" s="57">
        <f t="shared" si="47"/>
        <v>20000</v>
      </c>
      <c r="W98" s="68">
        <f t="shared" si="44"/>
        <v>20000</v>
      </c>
      <c r="X98" s="45">
        <f t="shared" si="48"/>
        <v>10000</v>
      </c>
      <c r="Y98" s="4"/>
      <c r="Z98" s="4"/>
      <c r="AF98" s="15"/>
    </row>
    <row r="99" spans="1:32" x14ac:dyDescent="0.2">
      <c r="A99" s="4" t="s">
        <v>225</v>
      </c>
      <c r="B99" s="4"/>
      <c r="C99" s="7">
        <v>70667</v>
      </c>
      <c r="D99" s="45"/>
      <c r="E99" s="57"/>
      <c r="F99" s="57">
        <f t="shared" si="46"/>
        <v>0</v>
      </c>
      <c r="G99" s="4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>159000-6500-3260</f>
        <v>149240</v>
      </c>
      <c r="U99" s="57"/>
      <c r="V99" s="57">
        <f t="shared" si="47"/>
        <v>149240</v>
      </c>
      <c r="W99" s="68">
        <f t="shared" si="44"/>
        <v>149240</v>
      </c>
      <c r="X99" s="45"/>
      <c r="Y99" s="4"/>
      <c r="Z99" s="4"/>
      <c r="AF99" s="15"/>
    </row>
    <row r="100" spans="1:32" x14ac:dyDescent="0.2">
      <c r="A100" s="4" t="s">
        <v>304</v>
      </c>
      <c r="B100" s="4"/>
      <c r="C100" s="7"/>
      <c r="D100" s="45"/>
      <c r="E100" s="57"/>
      <c r="F100" s="57"/>
      <c r="G100" s="4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v>17687</v>
      </c>
      <c r="U100" s="57"/>
      <c r="V100" s="57">
        <f t="shared" si="47"/>
        <v>17687</v>
      </c>
      <c r="W100" s="68">
        <f t="shared" si="44"/>
        <v>17687</v>
      </c>
      <c r="X100" s="45"/>
      <c r="Y100" s="4"/>
      <c r="Z100" s="4"/>
      <c r="AF100" s="15"/>
    </row>
    <row r="101" spans="1:32" x14ac:dyDescent="0.2">
      <c r="A101" s="4" t="s">
        <v>130</v>
      </c>
      <c r="B101" s="4"/>
      <c r="C101" s="7">
        <v>961100.00000000012</v>
      </c>
      <c r="D101" s="45"/>
      <c r="E101" s="57"/>
      <c r="F101" s="57">
        <f t="shared" si="46"/>
        <v>0</v>
      </c>
      <c r="G101" s="45"/>
      <c r="H101" s="7"/>
      <c r="I101" s="7"/>
      <c r="J101" s="7"/>
      <c r="K101" s="7"/>
      <c r="L101" s="7"/>
      <c r="M101" s="7"/>
      <c r="N101" s="7"/>
      <c r="O101" s="7"/>
      <c r="P101" s="7">
        <v>238000</v>
      </c>
      <c r="Q101" s="7"/>
      <c r="R101" s="7"/>
      <c r="S101" s="7"/>
      <c r="T101" s="7"/>
      <c r="U101" s="57"/>
      <c r="V101" s="57">
        <f t="shared" si="47"/>
        <v>238000</v>
      </c>
      <c r="W101" s="68">
        <f t="shared" si="44"/>
        <v>238000</v>
      </c>
      <c r="X101" s="45">
        <f>W101-C101</f>
        <v>-723100.00000000012</v>
      </c>
      <c r="Y101" s="4"/>
      <c r="Z101" s="4"/>
      <c r="AF101" s="15"/>
    </row>
    <row r="102" spans="1:32" x14ac:dyDescent="0.2">
      <c r="A102" s="4" t="s">
        <v>311</v>
      </c>
      <c r="B102" s="4"/>
      <c r="C102" s="7">
        <v>320182.49785873265</v>
      </c>
      <c r="D102" s="45"/>
      <c r="E102" s="57"/>
      <c r="F102" s="57">
        <f t="shared" si="46"/>
        <v>0</v>
      </c>
      <c r="G102" s="45"/>
      <c r="H102" s="7"/>
      <c r="I102" s="7"/>
      <c r="J102" s="7"/>
      <c r="K102" s="7"/>
      <c r="L102" s="7"/>
      <c r="M102" s="7"/>
      <c r="N102" s="7"/>
      <c r="O102" s="7"/>
      <c r="P102" s="7"/>
      <c r="Q102" s="7">
        <v>758000</v>
      </c>
      <c r="R102" s="7"/>
      <c r="S102" s="7"/>
      <c r="T102" s="7"/>
      <c r="U102" s="57"/>
      <c r="V102" s="57">
        <f t="shared" si="47"/>
        <v>758000</v>
      </c>
      <c r="W102" s="68">
        <f t="shared" si="44"/>
        <v>758000</v>
      </c>
      <c r="X102" s="45"/>
      <c r="Y102" s="4"/>
      <c r="Z102" s="4"/>
      <c r="AF102" s="15"/>
    </row>
    <row r="103" spans="1:32" x14ac:dyDescent="0.2">
      <c r="A103" s="4" t="s">
        <v>226</v>
      </c>
      <c r="B103" s="4"/>
      <c r="C103" s="7">
        <v>25000</v>
      </c>
      <c r="D103" s="45"/>
      <c r="E103" s="57"/>
      <c r="F103" s="57">
        <f t="shared" si="46"/>
        <v>0</v>
      </c>
      <c r="G103" s="45"/>
      <c r="H103" s="7"/>
      <c r="I103" s="7"/>
      <c r="J103" s="7"/>
      <c r="K103" s="7"/>
      <c r="L103" s="7"/>
      <c r="M103" s="7"/>
      <c r="N103" s="7"/>
      <c r="O103" s="7"/>
      <c r="P103" s="7">
        <v>25000</v>
      </c>
      <c r="Q103" s="7"/>
      <c r="R103" s="7"/>
      <c r="S103" s="7"/>
      <c r="T103" s="7"/>
      <c r="U103" s="57"/>
      <c r="V103" s="57">
        <f t="shared" si="47"/>
        <v>25000</v>
      </c>
      <c r="W103" s="68">
        <f t="shared" si="44"/>
        <v>25000</v>
      </c>
      <c r="X103" s="45"/>
      <c r="Y103" s="4"/>
      <c r="Z103" s="4"/>
      <c r="AF103" s="15"/>
    </row>
    <row r="104" spans="1:32" x14ac:dyDescent="0.2">
      <c r="A104" s="4" t="s">
        <v>303</v>
      </c>
      <c r="B104" s="4"/>
      <c r="C104" s="7">
        <v>50000</v>
      </c>
      <c r="D104" s="45"/>
      <c r="E104" s="57"/>
      <c r="F104" s="57"/>
      <c r="G104" s="45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50000</v>
      </c>
      <c r="S104" s="7"/>
      <c r="T104" s="7"/>
      <c r="U104" s="57"/>
      <c r="V104" s="57">
        <f t="shared" si="47"/>
        <v>50000</v>
      </c>
      <c r="W104" s="68">
        <f t="shared" si="44"/>
        <v>50000</v>
      </c>
      <c r="X104" s="45"/>
      <c r="Y104" s="4"/>
      <c r="Z104" s="4"/>
      <c r="AF104" s="15"/>
    </row>
    <row r="105" spans="1:32" x14ac:dyDescent="0.2">
      <c r="A105" s="4" t="s">
        <v>96</v>
      </c>
      <c r="B105" s="4"/>
      <c r="C105" s="7">
        <v>15000</v>
      </c>
      <c r="D105" s="45"/>
      <c r="E105" s="57">
        <v>18000</v>
      </c>
      <c r="F105" s="57">
        <f t="shared" si="46"/>
        <v>18000</v>
      </c>
      <c r="G105" s="45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57"/>
      <c r="V105" s="57">
        <f t="shared" si="47"/>
        <v>0</v>
      </c>
      <c r="W105" s="68">
        <f t="shared" si="44"/>
        <v>18000</v>
      </c>
      <c r="X105" s="45">
        <f t="shared" ref="X105:X113" si="49">W105-C105</f>
        <v>3000</v>
      </c>
      <c r="Y105" s="4"/>
      <c r="Z105" s="4" t="s">
        <v>124</v>
      </c>
      <c r="AF105" s="15"/>
    </row>
    <row r="106" spans="1:32" x14ac:dyDescent="0.2">
      <c r="A106" s="4" t="s">
        <v>46</v>
      </c>
      <c r="B106" s="4"/>
      <c r="C106" s="7">
        <v>7500</v>
      </c>
      <c r="D106" s="45"/>
      <c r="E106" s="57">
        <v>9000</v>
      </c>
      <c r="F106" s="57">
        <f t="shared" si="46"/>
        <v>9000</v>
      </c>
      <c r="G106" s="45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57"/>
      <c r="V106" s="57">
        <f t="shared" si="47"/>
        <v>0</v>
      </c>
      <c r="W106" s="68">
        <f t="shared" si="44"/>
        <v>9000</v>
      </c>
      <c r="X106" s="45">
        <f t="shared" si="49"/>
        <v>1500</v>
      </c>
      <c r="Y106" s="4"/>
      <c r="Z106" s="4" t="s">
        <v>125</v>
      </c>
      <c r="AF106" s="15"/>
    </row>
    <row r="107" spans="1:32" x14ac:dyDescent="0.2">
      <c r="A107" s="4" t="s">
        <v>349</v>
      </c>
      <c r="B107" s="4"/>
      <c r="C107" s="7"/>
      <c r="D107" s="45"/>
      <c r="E107" s="57"/>
      <c r="F107" s="57"/>
      <c r="G107" s="45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57">
        <v>25000</v>
      </c>
      <c r="V107" s="57">
        <f t="shared" si="47"/>
        <v>25000</v>
      </c>
      <c r="W107" s="68">
        <f t="shared" si="44"/>
        <v>25000</v>
      </c>
      <c r="X107" s="45"/>
      <c r="Y107" s="4"/>
      <c r="Z107" s="4"/>
      <c r="AF107" s="15"/>
    </row>
    <row r="108" spans="1:32" x14ac:dyDescent="0.2">
      <c r="A108" s="4" t="s">
        <v>41</v>
      </c>
      <c r="B108" s="4"/>
      <c r="C108" s="7">
        <v>17400</v>
      </c>
      <c r="D108" s="45"/>
      <c r="E108" s="143">
        <v>6000</v>
      </c>
      <c r="F108" s="57">
        <f t="shared" si="46"/>
        <v>6000</v>
      </c>
      <c r="G108" s="45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57">
        <v>15000</v>
      </c>
      <c r="V108" s="57">
        <f t="shared" si="47"/>
        <v>15000</v>
      </c>
      <c r="W108" s="68">
        <f t="shared" si="44"/>
        <v>21000</v>
      </c>
      <c r="X108" s="45">
        <f t="shared" si="49"/>
        <v>3600</v>
      </c>
      <c r="Y108" s="4"/>
      <c r="Z108" s="4" t="s">
        <v>106</v>
      </c>
      <c r="AF108" s="15"/>
    </row>
    <row r="109" spans="1:32" x14ac:dyDescent="0.2">
      <c r="A109" s="4" t="s">
        <v>47</v>
      </c>
      <c r="B109" s="4"/>
      <c r="C109" s="7">
        <v>0</v>
      </c>
      <c r="D109" s="45"/>
      <c r="E109" s="57"/>
      <c r="F109" s="57">
        <f t="shared" si="46"/>
        <v>0</v>
      </c>
      <c r="G109" s="45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57"/>
      <c r="V109" s="57">
        <f t="shared" si="47"/>
        <v>0</v>
      </c>
      <c r="W109" s="68">
        <f t="shared" si="44"/>
        <v>0</v>
      </c>
      <c r="X109" s="45">
        <f t="shared" si="49"/>
        <v>0</v>
      </c>
      <c r="Y109" s="4"/>
      <c r="Z109" s="4" t="s">
        <v>76</v>
      </c>
      <c r="AF109" s="15"/>
    </row>
    <row r="110" spans="1:32" x14ac:dyDescent="0.2">
      <c r="A110" s="4" t="s">
        <v>91</v>
      </c>
      <c r="B110" s="4"/>
      <c r="C110" s="7">
        <v>27000</v>
      </c>
      <c r="D110" s="45"/>
      <c r="E110" s="130">
        <v>9000</v>
      </c>
      <c r="F110" s="57">
        <f t="shared" si="46"/>
        <v>9000</v>
      </c>
      <c r="G110" s="45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/>
      <c r="T110" s="7"/>
      <c r="U110" s="130">
        <v>18000</v>
      </c>
      <c r="V110" s="57">
        <f t="shared" si="47"/>
        <v>18000</v>
      </c>
      <c r="W110" s="68">
        <f t="shared" si="44"/>
        <v>27000</v>
      </c>
      <c r="X110" s="45">
        <f t="shared" si="49"/>
        <v>0</v>
      </c>
      <c r="Y110" s="4"/>
      <c r="Z110" s="4" t="s">
        <v>107</v>
      </c>
      <c r="AF110" s="15"/>
    </row>
    <row r="111" spans="1:32" x14ac:dyDescent="0.2">
      <c r="A111" s="4" t="s">
        <v>92</v>
      </c>
      <c r="B111" s="4"/>
      <c r="C111" s="7">
        <v>30000</v>
      </c>
      <c r="D111" s="45"/>
      <c r="E111" s="131"/>
      <c r="F111" s="57">
        <f t="shared" si="46"/>
        <v>0</v>
      </c>
      <c r="G111" s="45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8"/>
      <c r="T111" s="7">
        <v>12000</v>
      </c>
      <c r="U111" s="58"/>
      <c r="V111" s="57">
        <f t="shared" si="47"/>
        <v>12000</v>
      </c>
      <c r="W111" s="68">
        <f t="shared" si="44"/>
        <v>12000</v>
      </c>
      <c r="X111" s="45">
        <f t="shared" si="49"/>
        <v>-18000</v>
      </c>
      <c r="Y111" s="4"/>
      <c r="Z111" s="4" t="s">
        <v>193</v>
      </c>
      <c r="AF111" s="15"/>
    </row>
    <row r="112" spans="1:32" x14ac:dyDescent="0.2">
      <c r="A112" s="4" t="s">
        <v>93</v>
      </c>
      <c r="B112" s="4"/>
      <c r="C112" s="7">
        <v>12000</v>
      </c>
      <c r="D112" s="45"/>
      <c r="E112" s="130">
        <v>12000</v>
      </c>
      <c r="F112" s="57">
        <f t="shared" si="46"/>
        <v>12000</v>
      </c>
      <c r="G112" s="45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8"/>
      <c r="T112" s="7"/>
      <c r="U112" s="57">
        <v>20000</v>
      </c>
      <c r="V112" s="57">
        <f t="shared" si="47"/>
        <v>20000</v>
      </c>
      <c r="W112" s="68">
        <f t="shared" si="44"/>
        <v>32000</v>
      </c>
      <c r="X112" s="45">
        <f t="shared" si="49"/>
        <v>20000</v>
      </c>
      <c r="Y112" s="4"/>
      <c r="Z112" s="4" t="s">
        <v>97</v>
      </c>
      <c r="AF112" s="15"/>
    </row>
    <row r="113" spans="1:32" x14ac:dyDescent="0.2">
      <c r="A113" s="4" t="s">
        <v>132</v>
      </c>
      <c r="B113" s="4"/>
      <c r="C113" s="7">
        <v>0</v>
      </c>
      <c r="D113" s="45"/>
      <c r="E113" s="147">
        <v>36000</v>
      </c>
      <c r="F113" s="57">
        <f t="shared" si="46"/>
        <v>36000</v>
      </c>
      <c r="G113" s="45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57"/>
      <c r="V113" s="57">
        <f t="shared" si="47"/>
        <v>0</v>
      </c>
      <c r="W113" s="68">
        <f t="shared" si="44"/>
        <v>36000</v>
      </c>
      <c r="X113" s="45">
        <f t="shared" si="49"/>
        <v>36000</v>
      </c>
      <c r="Y113" s="4"/>
      <c r="Z113" s="4" t="s">
        <v>98</v>
      </c>
      <c r="AF113" s="15"/>
    </row>
    <row r="114" spans="1:32" x14ac:dyDescent="0.2">
      <c r="A114" s="4" t="s">
        <v>100</v>
      </c>
      <c r="B114" s="4"/>
      <c r="C114" s="7">
        <v>20400</v>
      </c>
      <c r="D114" s="45"/>
      <c r="E114" s="131">
        <v>20400</v>
      </c>
      <c r="F114" s="57">
        <f t="shared" si="46"/>
        <v>20400</v>
      </c>
      <c r="G114" s="45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57"/>
      <c r="V114" s="57">
        <f t="shared" si="47"/>
        <v>0</v>
      </c>
      <c r="W114" s="68">
        <f t="shared" si="44"/>
        <v>20400</v>
      </c>
      <c r="X114" s="45"/>
      <c r="Y114" s="4"/>
      <c r="Z114" s="4"/>
      <c r="AF114" s="15"/>
    </row>
    <row r="115" spans="1:32" x14ac:dyDescent="0.2">
      <c r="A115" s="4" t="s">
        <v>33</v>
      </c>
      <c r="B115" s="4"/>
      <c r="C115" s="7">
        <v>180</v>
      </c>
      <c r="D115" s="45"/>
      <c r="E115" s="57"/>
      <c r="F115" s="57">
        <f t="shared" si="46"/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57">
        <v>180</v>
      </c>
      <c r="V115" s="57">
        <f t="shared" si="47"/>
        <v>180</v>
      </c>
      <c r="W115" s="68">
        <f t="shared" si="44"/>
        <v>180</v>
      </c>
      <c r="X115" s="7">
        <f>W115-C115</f>
        <v>0</v>
      </c>
      <c r="Y115" s="4"/>
      <c r="Z115" s="4"/>
      <c r="AF115" s="15"/>
    </row>
    <row r="116" spans="1:32" x14ac:dyDescent="0.2">
      <c r="A116" s="80" t="s">
        <v>14</v>
      </c>
      <c r="B116" s="80"/>
      <c r="C116" s="8">
        <v>2509113.4978587325</v>
      </c>
      <c r="D116" s="46">
        <f t="shared" ref="D116:X116" si="50">SUM(D83:D115)</f>
        <v>136000</v>
      </c>
      <c r="E116" s="58">
        <f t="shared" si="50"/>
        <v>258400</v>
      </c>
      <c r="F116" s="58">
        <f t="shared" si="50"/>
        <v>394400</v>
      </c>
      <c r="G116" s="8">
        <f t="shared" si="50"/>
        <v>0</v>
      </c>
      <c r="H116" s="8">
        <f t="shared" si="50"/>
        <v>0</v>
      </c>
      <c r="I116" s="8">
        <f t="shared" si="50"/>
        <v>0</v>
      </c>
      <c r="J116" s="8">
        <f t="shared" si="50"/>
        <v>0</v>
      </c>
      <c r="K116" s="8">
        <f t="shared" si="50"/>
        <v>0</v>
      </c>
      <c r="L116" s="8">
        <f t="shared" si="50"/>
        <v>133200</v>
      </c>
      <c r="M116" s="8">
        <f t="shared" si="50"/>
        <v>82600</v>
      </c>
      <c r="N116" s="8">
        <f t="shared" si="50"/>
        <v>85000</v>
      </c>
      <c r="O116" s="8">
        <f t="shared" si="50"/>
        <v>234000</v>
      </c>
      <c r="P116" s="8">
        <f t="shared" si="50"/>
        <v>263000</v>
      </c>
      <c r="Q116" s="8">
        <f t="shared" si="50"/>
        <v>758000</v>
      </c>
      <c r="R116" s="8">
        <f t="shared" si="50"/>
        <v>50000</v>
      </c>
      <c r="S116" s="8">
        <f t="shared" si="50"/>
        <v>20000</v>
      </c>
      <c r="T116" s="8">
        <f t="shared" si="50"/>
        <v>213927</v>
      </c>
      <c r="U116" s="58">
        <f t="shared" si="50"/>
        <v>380180</v>
      </c>
      <c r="V116" s="144">
        <f t="shared" si="50"/>
        <v>2134907</v>
      </c>
      <c r="W116" s="145">
        <f t="shared" si="50"/>
        <v>2529307</v>
      </c>
      <c r="X116" s="8">
        <f t="shared" si="50"/>
        <v>-698884.00000000012</v>
      </c>
      <c r="Y116" s="4"/>
      <c r="Z116" s="72">
        <f>X116/C116</f>
        <v>-0.27853821702223713</v>
      </c>
      <c r="AF116" s="15"/>
    </row>
    <row r="117" spans="1:32" x14ac:dyDescent="0.2">
      <c r="A117" s="1" t="s">
        <v>15</v>
      </c>
      <c r="B117" s="1"/>
      <c r="C117" s="8">
        <v>22176.756728128996</v>
      </c>
      <c r="D117" s="46">
        <f t="shared" ref="D117:V117" si="51">D116-D80</f>
        <v>23436.970135900003</v>
      </c>
      <c r="E117" s="46">
        <f t="shared" si="51"/>
        <v>-107878.03878190002</v>
      </c>
      <c r="F117" s="58">
        <f t="shared" si="51"/>
        <v>-84441.068646000058</v>
      </c>
      <c r="G117" s="8">
        <f t="shared" si="51"/>
        <v>0</v>
      </c>
      <c r="H117" s="8">
        <f t="shared" si="51"/>
        <v>-65847.347615709994</v>
      </c>
      <c r="I117" s="8">
        <f t="shared" si="51"/>
        <v>-138255.9914011558</v>
      </c>
      <c r="J117" s="8">
        <f t="shared" si="51"/>
        <v>-67120.165039999993</v>
      </c>
      <c r="K117" s="8">
        <f t="shared" si="51"/>
        <v>-70249.725933900001</v>
      </c>
      <c r="L117" s="8">
        <f t="shared" si="51"/>
        <v>29425.644407691667</v>
      </c>
      <c r="M117" s="8">
        <f t="shared" si="51"/>
        <v>17251.45179756666</v>
      </c>
      <c r="N117" s="8">
        <f t="shared" si="51"/>
        <v>-13979.142083999992</v>
      </c>
      <c r="O117" s="8">
        <f t="shared" si="51"/>
        <v>4796.9954348050815</v>
      </c>
      <c r="P117" s="8">
        <f t="shared" si="51"/>
        <v>-6229.3741740333498</v>
      </c>
      <c r="Q117" s="8">
        <f t="shared" si="51"/>
        <v>124098.95277720504</v>
      </c>
      <c r="R117" s="8">
        <f t="shared" si="51"/>
        <v>521.97953740999947</v>
      </c>
      <c r="S117" s="8">
        <f t="shared" si="51"/>
        <v>-21083.09840462498</v>
      </c>
      <c r="T117" s="8">
        <f t="shared" si="51"/>
        <v>-22536.990504900023</v>
      </c>
      <c r="U117" s="58">
        <f t="shared" si="51"/>
        <v>266942</v>
      </c>
      <c r="V117" s="58">
        <f>V116-V80</f>
        <v>-47264.811203645542</v>
      </c>
      <c r="W117" s="134">
        <f>W116-W80</f>
        <v>-131705.87984964577</v>
      </c>
      <c r="X117" s="8"/>
      <c r="Y117" s="4"/>
      <c r="Z117" s="39">
        <f>W117/W116</f>
        <v>-5.2071923198585925E-2</v>
      </c>
      <c r="AF117" s="15"/>
    </row>
    <row r="118" spans="1:32" x14ac:dyDescent="0.2">
      <c r="A118" s="11" t="s">
        <v>227</v>
      </c>
      <c r="B118" s="1"/>
      <c r="C118" s="8">
        <v>-24489.061408000001</v>
      </c>
      <c r="D118" s="46"/>
      <c r="E118" s="46"/>
      <c r="F118" s="5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58"/>
      <c r="V118" s="58"/>
      <c r="W118" s="90">
        <f>-AE55-24500</f>
        <v>-75903.441042799997</v>
      </c>
      <c r="X118" s="149" t="s">
        <v>345</v>
      </c>
      <c r="Y118" s="4"/>
      <c r="Z118" s="39"/>
      <c r="AF118" s="15"/>
    </row>
    <row r="119" spans="1:32" x14ac:dyDescent="0.2">
      <c r="A119" s="11" t="s">
        <v>312</v>
      </c>
      <c r="B119" s="1"/>
      <c r="C119" s="8">
        <v>-2312.3046798710056</v>
      </c>
      <c r="D119" s="46"/>
      <c r="E119" s="46"/>
      <c r="F119" s="5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58"/>
      <c r="V119" s="58"/>
      <c r="W119" s="99">
        <f>W117+W118</f>
        <v>-207609.32089244577</v>
      </c>
      <c r="X119" s="150">
        <f>W119/W116</f>
        <v>-8.2081503309976114E-2</v>
      </c>
      <c r="Y119" s="4"/>
      <c r="Z119" s="39"/>
      <c r="AF119" s="15"/>
    </row>
    <row r="120" spans="1:32" x14ac:dyDescent="0.2">
      <c r="A120" s="1"/>
      <c r="B120" s="1"/>
      <c r="C120" s="8"/>
      <c r="D120" s="46"/>
      <c r="E120" s="46"/>
      <c r="F120" s="5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58"/>
      <c r="V120" s="58"/>
      <c r="W120" s="90"/>
      <c r="X120" s="8"/>
      <c r="Y120" s="4"/>
      <c r="Z120" s="72"/>
      <c r="AF120" s="15"/>
    </row>
    <row r="121" spans="1:32" x14ac:dyDescent="0.2">
      <c r="A121" s="53" t="s">
        <v>302</v>
      </c>
      <c r="B121" s="53"/>
      <c r="C121" s="8">
        <v>145450</v>
      </c>
      <c r="D121" s="46"/>
      <c r="E121" s="132">
        <f>9000+3000</f>
        <v>12000</v>
      </c>
      <c r="F121" s="87">
        <f>D121+E121</f>
        <v>12000</v>
      </c>
      <c r="G121" s="7"/>
      <c r="H121" s="7"/>
      <c r="I121" s="7"/>
      <c r="J121" s="7"/>
      <c r="K121" s="7"/>
      <c r="L121" s="84"/>
      <c r="M121" s="84">
        <v>9000</v>
      </c>
      <c r="N121" s="84"/>
      <c r="O121" s="84"/>
      <c r="P121" s="84"/>
      <c r="Q121" s="84"/>
      <c r="R121" s="84">
        <v>18000</v>
      </c>
      <c r="S121" s="84">
        <v>15000</v>
      </c>
      <c r="T121" s="84">
        <f>71774+20000+15000</f>
        <v>106774</v>
      </c>
      <c r="U121" s="87">
        <v>26800</v>
      </c>
      <c r="V121" s="87">
        <f>G121+H121+I121+J121+K121+L121+M121+N121+O121+P121+Q121+R121+S121+T121+U121</f>
        <v>175574</v>
      </c>
      <c r="W121" s="91">
        <f>F121+V121</f>
        <v>187574</v>
      </c>
      <c r="X121" s="8"/>
      <c r="Y121" s="4"/>
      <c r="Z121" s="72"/>
      <c r="AF121" s="15"/>
    </row>
    <row r="122" spans="1:32" x14ac:dyDescent="0.2">
      <c r="A122" s="53" t="s">
        <v>90</v>
      </c>
      <c r="B122" s="53"/>
      <c r="C122" s="122">
        <v>167626.756728129</v>
      </c>
      <c r="D122" s="46"/>
      <c r="E122" s="133">
        <f>E117+E121</f>
        <v>-95878.038781900017</v>
      </c>
      <c r="F122" s="88">
        <f>F117+F121</f>
        <v>-72441.068646000058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84">
        <f>T117+T121</f>
        <v>84237.009495099977</v>
      </c>
      <c r="U122" s="57"/>
      <c r="V122" s="87"/>
      <c r="W122" s="92">
        <f>W119+W121</f>
        <v>-20035.320892445772</v>
      </c>
      <c r="X122" s="8"/>
      <c r="Y122" s="4"/>
      <c r="Z122" s="72"/>
      <c r="AF122" s="15"/>
    </row>
    <row r="123" spans="1:32" x14ac:dyDescent="0.2">
      <c r="A123" s="53"/>
      <c r="B123" s="53"/>
      <c r="C123" s="8"/>
      <c r="D123" s="46"/>
      <c r="E123" s="132"/>
      <c r="F123" s="8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57"/>
      <c r="V123" s="57"/>
      <c r="W123" s="89"/>
      <c r="X123" s="8"/>
      <c r="Y123" s="4"/>
      <c r="Z123" s="72"/>
      <c r="AF123" s="15"/>
    </row>
    <row r="124" spans="1:32" x14ac:dyDescent="0.2">
      <c r="A124" s="53" t="s">
        <v>192</v>
      </c>
      <c r="B124" s="53"/>
      <c r="C124" s="85"/>
      <c r="D124" s="46"/>
      <c r="E124" s="133"/>
      <c r="F124" s="87"/>
      <c r="G124" s="84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4"/>
      <c r="U124" s="87"/>
      <c r="V124" s="87"/>
      <c r="W124" s="91"/>
      <c r="X124" s="8"/>
      <c r="Y124" s="4"/>
      <c r="Z124" s="4"/>
      <c r="AF124" s="15"/>
    </row>
    <row r="125" spans="1:32" x14ac:dyDescent="0.2">
      <c r="A125" s="86" t="s">
        <v>187</v>
      </c>
      <c r="B125" s="86"/>
      <c r="C125" s="85">
        <v>58832.12</v>
      </c>
      <c r="D125" s="46"/>
      <c r="E125" s="132">
        <f>87704.96-36000</f>
        <v>51704.960000000006</v>
      </c>
      <c r="F125" s="87">
        <f>D125+E125</f>
        <v>51704.960000000006</v>
      </c>
      <c r="G125" s="84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4"/>
      <c r="U125" s="87">
        <v>2491</v>
      </c>
      <c r="V125" s="87">
        <f>G125+H125+I125+L125+M125+P125+S125+T125+U125</f>
        <v>2491</v>
      </c>
      <c r="W125" s="91">
        <f>F125+V125</f>
        <v>54195.960000000006</v>
      </c>
      <c r="X125" s="8"/>
      <c r="Y125" s="4"/>
      <c r="Z125" s="4"/>
      <c r="AF125" s="15"/>
    </row>
    <row r="126" spans="1:32" x14ac:dyDescent="0.2">
      <c r="A126" s="86" t="s">
        <v>188</v>
      </c>
      <c r="B126" s="86"/>
      <c r="C126" s="85">
        <v>42841</v>
      </c>
      <c r="D126" s="46"/>
      <c r="E126" s="132"/>
      <c r="F126" s="87"/>
      <c r="G126" s="8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4"/>
      <c r="U126" s="87">
        <v>0</v>
      </c>
      <c r="V126" s="87">
        <f>G126+H126+I126+L126+M126+P126+S126+T126+U126</f>
        <v>0</v>
      </c>
      <c r="W126" s="91">
        <f>F126+V126</f>
        <v>0</v>
      </c>
      <c r="X126" s="8"/>
      <c r="Y126" s="4"/>
      <c r="Z126" s="4"/>
      <c r="AF126" s="15"/>
    </row>
    <row r="127" spans="1:32" x14ac:dyDescent="0.2">
      <c r="A127" s="86" t="s">
        <v>189</v>
      </c>
      <c r="B127" s="86"/>
      <c r="C127" s="85">
        <v>37595</v>
      </c>
      <c r="D127" s="46"/>
      <c r="E127" s="132"/>
      <c r="F127" s="87"/>
      <c r="G127" s="8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4"/>
      <c r="U127" s="87">
        <v>0</v>
      </c>
      <c r="V127" s="87">
        <f>G127+H127+I127+L127+M127+P127+S127+T127+U127</f>
        <v>0</v>
      </c>
      <c r="W127" s="91">
        <f>F127+V127</f>
        <v>0</v>
      </c>
      <c r="X127" s="8"/>
      <c r="Y127" s="4"/>
      <c r="Z127" s="4"/>
      <c r="AF127" s="15"/>
    </row>
    <row r="128" spans="1:32" x14ac:dyDescent="0.2">
      <c r="A128" s="86" t="s">
        <v>194</v>
      </c>
      <c r="B128" s="86"/>
      <c r="C128" s="85">
        <v>139268.12</v>
      </c>
      <c r="D128" s="46"/>
      <c r="E128" s="132"/>
      <c r="F128" s="87"/>
      <c r="G128" s="8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4"/>
      <c r="U128" s="87"/>
      <c r="V128" s="87"/>
      <c r="W128" s="153">
        <f>W125+W126+W127</f>
        <v>54195.960000000006</v>
      </c>
      <c r="X128" s="8"/>
      <c r="Y128" s="4"/>
      <c r="Z128" s="4"/>
      <c r="AF128" s="15"/>
    </row>
    <row r="129" spans="1:32" x14ac:dyDescent="0.2">
      <c r="A129" s="53" t="s">
        <v>90</v>
      </c>
      <c r="B129" s="53"/>
      <c r="C129" s="8">
        <v>306894.87672812899</v>
      </c>
      <c r="D129" s="46"/>
      <c r="E129" s="133">
        <f>E117+E121+E125</f>
        <v>-44173.078781900011</v>
      </c>
      <c r="F129" s="88">
        <f>F117+F121+F125</f>
        <v>-20736.108646000052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58"/>
      <c r="V129" s="58"/>
      <c r="W129" s="92">
        <f>W122+W128</f>
        <v>34160.639107554234</v>
      </c>
      <c r="X129" s="8"/>
      <c r="Y129" s="4"/>
      <c r="Z129" s="4"/>
      <c r="AF129" s="15"/>
    </row>
    <row r="130" spans="1:32" x14ac:dyDescent="0.2">
      <c r="A130" s="53"/>
      <c r="B130" s="5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4"/>
      <c r="Z130" s="4"/>
      <c r="AF130" s="15"/>
    </row>
    <row r="131" spans="1:32" hidden="1" x14ac:dyDescent="0.2">
      <c r="A131" s="35" t="s">
        <v>48</v>
      </c>
      <c r="B131" s="35"/>
      <c r="C131" s="34">
        <v>119791.94327187077</v>
      </c>
      <c r="D131" s="46"/>
      <c r="E131" s="46"/>
      <c r="F131" s="60">
        <f>F86+F87+F110+F112-F129</f>
        <v>95736.108646000052</v>
      </c>
      <c r="G131" s="48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3"/>
      <c r="V131" s="34">
        <f>V86+V87+V110+V111-V117+V95</f>
        <v>194264.81120364554</v>
      </c>
      <c r="W131" s="48">
        <f>F131+V131</f>
        <v>290000.91984964558</v>
      </c>
      <c r="X131" s="45"/>
      <c r="Y131" s="4"/>
      <c r="Z131" s="4"/>
      <c r="AF131" s="15"/>
    </row>
    <row r="132" spans="1:32" hidden="1" x14ac:dyDescent="0.2">
      <c r="A132" s="35" t="s">
        <v>53</v>
      </c>
      <c r="B132" s="35"/>
      <c r="C132" s="34">
        <v>165000</v>
      </c>
      <c r="D132" s="46"/>
      <c r="E132" s="46"/>
      <c r="F132" s="60">
        <v>98000</v>
      </c>
      <c r="G132" s="48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>
        <v>80000</v>
      </c>
      <c r="W132" s="48">
        <v>165000</v>
      </c>
      <c r="X132" s="45"/>
      <c r="Y132" s="4"/>
      <c r="Z132" s="4"/>
      <c r="AF132" s="15"/>
    </row>
    <row r="133" spans="1:32" x14ac:dyDescent="0.2">
      <c r="A133" s="1"/>
      <c r="B133" s="1"/>
      <c r="C133" s="4"/>
      <c r="D133" s="7"/>
      <c r="E133" s="4"/>
      <c r="F133" s="4"/>
      <c r="G133" s="4"/>
      <c r="H133" s="4"/>
      <c r="I133" s="4"/>
      <c r="J133" s="4"/>
      <c r="K133" s="4"/>
      <c r="L133" s="2"/>
      <c r="W133" s="4"/>
      <c r="AF133" s="15"/>
    </row>
    <row r="134" spans="1:32" x14ac:dyDescent="0.2">
      <c r="C134" s="7"/>
      <c r="D134" s="4"/>
      <c r="E134" s="4"/>
      <c r="F134" s="4"/>
      <c r="G134" s="4"/>
      <c r="H134" s="4"/>
      <c r="I134" s="4"/>
      <c r="J134" s="4"/>
      <c r="K134" s="4"/>
      <c r="L134" s="2"/>
      <c r="M134" s="15"/>
      <c r="N134" s="15"/>
      <c r="O134" s="15"/>
      <c r="W134" s="7"/>
      <c r="AF134" s="15"/>
    </row>
    <row r="135" spans="1:32" x14ac:dyDescent="0.2">
      <c r="C135" s="7"/>
      <c r="D135" s="32"/>
      <c r="E135" s="4"/>
      <c r="F135" s="4"/>
      <c r="G135" s="4"/>
      <c r="H135" s="4"/>
      <c r="I135" s="4"/>
      <c r="J135" s="4"/>
      <c r="K135" s="4"/>
      <c r="L135" s="2"/>
      <c r="W135" s="7"/>
      <c r="AF135" s="15"/>
    </row>
    <row r="136" spans="1:32" x14ac:dyDescent="0.2">
      <c r="A136" s="11" t="s">
        <v>324</v>
      </c>
      <c r="B136" s="9"/>
      <c r="C136" s="4"/>
      <c r="D136" s="4" t="s">
        <v>327</v>
      </c>
      <c r="E136" s="4" t="s">
        <v>328</v>
      </c>
      <c r="F136" s="7"/>
      <c r="G136" s="4"/>
      <c r="H136" s="4"/>
      <c r="I136" s="4"/>
      <c r="J136" s="4"/>
      <c r="K136" s="4"/>
      <c r="L136" s="2"/>
      <c r="W136" s="4"/>
      <c r="AF136" s="15"/>
    </row>
    <row r="137" spans="1:32" x14ac:dyDescent="0.2">
      <c r="A137" s="4" t="s">
        <v>318</v>
      </c>
      <c r="B137" s="1"/>
      <c r="C137" s="32">
        <v>8000</v>
      </c>
      <c r="D137" s="1"/>
      <c r="E137" s="4"/>
      <c r="F137" s="4"/>
      <c r="G137" s="4"/>
      <c r="H137" s="4"/>
      <c r="I137" s="4"/>
      <c r="J137" s="4"/>
      <c r="K137" s="4"/>
      <c r="L137" s="2"/>
      <c r="W137" s="32"/>
    </row>
    <row r="138" spans="1:32" x14ac:dyDescent="0.2">
      <c r="A138" s="4" t="s">
        <v>319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2"/>
      <c r="W138" s="4"/>
    </row>
    <row r="139" spans="1:32" x14ac:dyDescent="0.2">
      <c r="A139" s="4" t="s">
        <v>335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2"/>
      <c r="W139" s="4"/>
    </row>
    <row r="140" spans="1:32" x14ac:dyDescent="0.2">
      <c r="A140" s="4" t="s">
        <v>320</v>
      </c>
      <c r="B140" s="4"/>
      <c r="C140" s="1"/>
      <c r="E140" s="1"/>
      <c r="F140" s="1"/>
      <c r="G140" s="1"/>
      <c r="H140" s="1"/>
      <c r="I140" s="1"/>
      <c r="J140" s="1"/>
      <c r="K140" s="1"/>
      <c r="L140" s="3"/>
      <c r="W140" s="1"/>
    </row>
    <row r="141" spans="1:32" x14ac:dyDescent="0.2">
      <c r="A141" s="4" t="s">
        <v>321</v>
      </c>
      <c r="B141" s="4"/>
      <c r="C141" s="4">
        <v>36000</v>
      </c>
      <c r="E141" s="4"/>
      <c r="F141" s="4"/>
      <c r="G141" s="4"/>
      <c r="H141" s="4"/>
      <c r="I141" s="4"/>
      <c r="J141" s="4"/>
      <c r="K141" s="4"/>
      <c r="L141" s="2"/>
      <c r="W141" s="4"/>
    </row>
    <row r="142" spans="1:32" x14ac:dyDescent="0.2">
      <c r="A142" s="4" t="s">
        <v>323</v>
      </c>
      <c r="C142" s="103">
        <v>23000</v>
      </c>
    </row>
    <row r="143" spans="1:32" x14ac:dyDescent="0.2">
      <c r="A143" s="4" t="s">
        <v>325</v>
      </c>
      <c r="C143">
        <v>36000</v>
      </c>
    </row>
    <row r="145" spans="1:5" x14ac:dyDescent="0.2">
      <c r="A145" s="146" t="s">
        <v>322</v>
      </c>
      <c r="D145" s="103" t="s">
        <v>327</v>
      </c>
      <c r="E145" s="103" t="s">
        <v>328</v>
      </c>
    </row>
    <row r="146" spans="1:5" x14ac:dyDescent="0.2">
      <c r="A146" s="4" t="s">
        <v>326</v>
      </c>
    </row>
    <row r="147" spans="1:5" x14ac:dyDescent="0.2">
      <c r="A147" s="4" t="s">
        <v>329</v>
      </c>
      <c r="C147">
        <v>1200</v>
      </c>
    </row>
    <row r="148" spans="1:5" x14ac:dyDescent="0.2">
      <c r="A148" s="4" t="s">
        <v>330</v>
      </c>
      <c r="C148">
        <v>1200</v>
      </c>
    </row>
    <row r="149" spans="1:5" x14ac:dyDescent="0.2">
      <c r="A149" s="4" t="s">
        <v>331</v>
      </c>
      <c r="C149">
        <v>2400</v>
      </c>
    </row>
    <row r="150" spans="1:5" x14ac:dyDescent="0.2">
      <c r="A150" s="4" t="s">
        <v>332</v>
      </c>
      <c r="C150">
        <v>1800</v>
      </c>
    </row>
    <row r="151" spans="1:5" x14ac:dyDescent="0.2">
      <c r="A151" s="4" t="s">
        <v>333</v>
      </c>
      <c r="C151">
        <v>1800</v>
      </c>
    </row>
    <row r="152" spans="1:5" x14ac:dyDescent="0.2">
      <c r="A152" s="4" t="s">
        <v>334</v>
      </c>
      <c r="C152">
        <v>600</v>
      </c>
    </row>
    <row r="154" spans="1:5" x14ac:dyDescent="0.2">
      <c r="A154" s="11" t="s">
        <v>338</v>
      </c>
    </row>
    <row r="155" spans="1:5" x14ac:dyDescent="0.2">
      <c r="A155" s="4" t="s">
        <v>339</v>
      </c>
      <c r="C155">
        <v>2400</v>
      </c>
    </row>
    <row r="156" spans="1:5" x14ac:dyDescent="0.2">
      <c r="A156" s="4" t="s">
        <v>340</v>
      </c>
      <c r="C156">
        <v>2400</v>
      </c>
    </row>
    <row r="157" spans="1:5" x14ac:dyDescent="0.2">
      <c r="A157" s="4" t="s">
        <v>341</v>
      </c>
      <c r="C157">
        <v>2400</v>
      </c>
    </row>
    <row r="158" spans="1:5" x14ac:dyDescent="0.2">
      <c r="A158" s="4" t="s">
        <v>342</v>
      </c>
      <c r="C158">
        <v>1.25</v>
      </c>
    </row>
    <row r="159" spans="1:5" x14ac:dyDescent="0.2">
      <c r="A159" s="4" t="s">
        <v>343</v>
      </c>
      <c r="C159">
        <v>1.25</v>
      </c>
    </row>
    <row r="161" spans="1:5" x14ac:dyDescent="0.2">
      <c r="A161" s="11" t="s">
        <v>350</v>
      </c>
    </row>
    <row r="162" spans="1:5" x14ac:dyDescent="0.2">
      <c r="A162" s="4" t="s">
        <v>351</v>
      </c>
      <c r="C162" s="15">
        <v>26715</v>
      </c>
      <c r="D162" s="15">
        <f>D161+C162</f>
        <v>26715</v>
      </c>
    </row>
    <row r="163" spans="1:5" x14ac:dyDescent="0.2">
      <c r="A163" s="4" t="s">
        <v>352</v>
      </c>
      <c r="C163" s="15">
        <v>12429</v>
      </c>
      <c r="D163" s="15">
        <f t="shared" ref="D163:D165" si="52">D162+C163</f>
        <v>39144</v>
      </c>
      <c r="E163" s="103" t="s">
        <v>358</v>
      </c>
    </row>
    <row r="164" spans="1:5" x14ac:dyDescent="0.2">
      <c r="A164" s="4" t="s">
        <v>353</v>
      </c>
      <c r="C164" s="15">
        <f>AF38</f>
        <v>24517.599999999999</v>
      </c>
      <c r="D164" s="15">
        <f t="shared" si="52"/>
        <v>63661.599999999999</v>
      </c>
      <c r="E164" s="103" t="s">
        <v>358</v>
      </c>
    </row>
    <row r="165" spans="1:5" x14ac:dyDescent="0.2">
      <c r="A165" s="4" t="s">
        <v>354</v>
      </c>
      <c r="C165" s="15">
        <f>Q28</f>
        <v>68448.886400000003</v>
      </c>
      <c r="D165" s="15">
        <f t="shared" si="52"/>
        <v>132110.48639999999</v>
      </c>
    </row>
    <row r="166" spans="1:5" x14ac:dyDescent="0.2">
      <c r="A166" s="4" t="s">
        <v>355</v>
      </c>
      <c r="C166" s="103" t="s">
        <v>356</v>
      </c>
    </row>
  </sheetData>
  <phoneticPr fontId="0" type="noConversion"/>
  <pageMargins left="0.5" right="0.5" top="0.75" bottom="0.75" header="0.3" footer="0.3"/>
  <pageSetup scale="21" fitToHeight="0" orientation="portrait" r:id="rId1"/>
  <ignoredErrors>
    <ignoredError sqref="D5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53CD-F0AA-4436-BEFA-27B79B43DA54}">
  <sheetPr>
    <pageSetUpPr fitToPage="1"/>
  </sheetPr>
  <dimension ref="A1:AV138"/>
  <sheetViews>
    <sheetView topLeftCell="H1" zoomScaleNormal="100" workbookViewId="0">
      <selection activeCell="Q29" sqref="Q29"/>
    </sheetView>
  </sheetViews>
  <sheetFormatPr defaultRowHeight="12.75" x14ac:dyDescent="0.2"/>
  <cols>
    <col min="1" max="1" width="27.42578125" customWidth="1"/>
    <col min="2" max="2" width="27.42578125" hidden="1" customWidth="1"/>
    <col min="3" max="24" width="11.7109375" customWidth="1"/>
    <col min="25" max="25" width="1.7109375" customWidth="1"/>
    <col min="26" max="26" width="41.5703125" customWidth="1"/>
    <col min="27" max="29" width="11.7109375" customWidth="1"/>
    <col min="30" max="33" width="12.7109375" customWidth="1"/>
    <col min="34" max="34" width="3.42578125" customWidth="1"/>
    <col min="35" max="35" width="12.7109375" hidden="1" customWidth="1"/>
    <col min="36" max="39" width="10.7109375" customWidth="1"/>
    <col min="40" max="41" width="11.7109375" customWidth="1"/>
    <col min="42" max="42" width="9.7109375" customWidth="1"/>
    <col min="43" max="46" width="11.7109375" customWidth="1"/>
    <col min="47" max="47" width="9.7109375" customWidth="1"/>
    <col min="48" max="48" width="11.7109375" customWidth="1"/>
  </cols>
  <sheetData>
    <row r="1" spans="1:48" ht="18" x14ac:dyDescent="0.25">
      <c r="A1" s="10" t="s">
        <v>231</v>
      </c>
      <c r="B1" s="10"/>
      <c r="C1" s="4"/>
      <c r="D1" s="4"/>
      <c r="E1" s="4"/>
      <c r="F1" s="5"/>
      <c r="G1" s="4"/>
      <c r="H1" s="4"/>
      <c r="I1" s="4"/>
      <c r="J1" s="4"/>
      <c r="K1" s="4"/>
      <c r="L1" s="2"/>
      <c r="W1" s="4"/>
    </row>
    <row r="2" spans="1:48" x14ac:dyDescent="0.2">
      <c r="A2" s="11" t="s">
        <v>315</v>
      </c>
      <c r="B2" s="1"/>
      <c r="C2" s="4"/>
      <c r="D2" s="4"/>
      <c r="E2" s="4"/>
      <c r="F2" s="4"/>
      <c r="G2" s="4"/>
      <c r="H2" s="4"/>
      <c r="I2" s="4"/>
      <c r="J2" s="4"/>
      <c r="K2" s="4"/>
      <c r="L2" s="2"/>
      <c r="W2" s="4"/>
    </row>
    <row r="3" spans="1:48" x14ac:dyDescent="0.2">
      <c r="A3" s="36"/>
      <c r="B3" s="36"/>
      <c r="C3" s="4"/>
      <c r="D3" s="4"/>
      <c r="E3" s="4"/>
      <c r="F3" s="4"/>
      <c r="G3" s="4"/>
      <c r="H3" s="4"/>
      <c r="I3" s="4"/>
      <c r="J3" s="4"/>
      <c r="K3" s="4"/>
      <c r="L3" s="2"/>
      <c r="W3" s="4"/>
    </row>
    <row r="4" spans="1:48" x14ac:dyDescent="0.2">
      <c r="A4" s="4"/>
      <c r="B4" s="4"/>
      <c r="C4" s="6" t="s">
        <v>25</v>
      </c>
      <c r="D4" s="44">
        <v>2024</v>
      </c>
      <c r="E4" s="76">
        <v>2024</v>
      </c>
      <c r="F4" s="44">
        <v>2024</v>
      </c>
      <c r="G4" s="44">
        <v>2023</v>
      </c>
      <c r="H4" s="6">
        <v>2024</v>
      </c>
      <c r="I4" s="6">
        <v>2024</v>
      </c>
      <c r="J4" s="6">
        <v>2024</v>
      </c>
      <c r="K4" s="6">
        <v>2024</v>
      </c>
      <c r="L4" s="6">
        <v>2024</v>
      </c>
      <c r="M4" s="6">
        <v>2024</v>
      </c>
      <c r="N4" s="6">
        <v>2024</v>
      </c>
      <c r="O4" s="6">
        <v>2024</v>
      </c>
      <c r="P4" s="6">
        <v>2024</v>
      </c>
      <c r="Q4" s="6">
        <v>2024</v>
      </c>
      <c r="R4" s="6">
        <v>2024</v>
      </c>
      <c r="S4" s="6">
        <v>2024</v>
      </c>
      <c r="T4" s="6">
        <v>2024</v>
      </c>
      <c r="U4" s="6">
        <v>2024</v>
      </c>
      <c r="V4" s="115">
        <v>2024</v>
      </c>
      <c r="W4" s="67" t="s">
        <v>230</v>
      </c>
      <c r="X4" s="44">
        <v>2023</v>
      </c>
      <c r="Y4" s="6"/>
      <c r="Z4" s="4"/>
      <c r="AA4" s="40" t="s">
        <v>66</v>
      </c>
      <c r="AB4" s="40">
        <v>2024</v>
      </c>
      <c r="AC4" s="40">
        <v>2024</v>
      </c>
      <c r="AD4" s="40" t="s">
        <v>66</v>
      </c>
      <c r="AE4" s="41" t="s">
        <v>66</v>
      </c>
      <c r="AF4" s="41" t="s">
        <v>66</v>
      </c>
      <c r="AG4" s="41" t="s">
        <v>66</v>
      </c>
      <c r="AH4" s="41"/>
      <c r="AI4" s="41" t="s">
        <v>51</v>
      </c>
      <c r="AJ4" s="111" t="s">
        <v>51</v>
      </c>
      <c r="AK4" s="41" t="s">
        <v>284</v>
      </c>
      <c r="AL4" s="41" t="s">
        <v>284</v>
      </c>
      <c r="AM4" s="41" t="s">
        <v>284</v>
      </c>
      <c r="AN4" s="41" t="s">
        <v>287</v>
      </c>
      <c r="AO4" s="117" t="s">
        <v>296</v>
      </c>
      <c r="AP4" s="105" t="s">
        <v>296</v>
      </c>
      <c r="AQ4" s="111" t="s">
        <v>290</v>
      </c>
      <c r="AR4" s="41" t="s">
        <v>292</v>
      </c>
      <c r="AS4" s="41" t="s">
        <v>217</v>
      </c>
      <c r="AT4" s="117" t="s">
        <v>294</v>
      </c>
      <c r="AU4" s="105" t="s">
        <v>294</v>
      </c>
      <c r="AV4" s="117" t="s">
        <v>66</v>
      </c>
    </row>
    <row r="5" spans="1:48" x14ac:dyDescent="0.2">
      <c r="A5" s="4"/>
      <c r="B5" s="4"/>
      <c r="C5" s="28" t="s">
        <v>20</v>
      </c>
      <c r="D5" s="49" t="s">
        <v>99</v>
      </c>
      <c r="E5" s="77" t="s">
        <v>22</v>
      </c>
      <c r="F5" s="54" t="s">
        <v>19</v>
      </c>
      <c r="G5" s="49" t="s">
        <v>49</v>
      </c>
      <c r="H5" s="49" t="s">
        <v>55</v>
      </c>
      <c r="I5" s="28" t="s">
        <v>24</v>
      </c>
      <c r="J5" s="28" t="s">
        <v>139</v>
      </c>
      <c r="K5" s="28" t="s">
        <v>223</v>
      </c>
      <c r="L5" s="28" t="s">
        <v>51</v>
      </c>
      <c r="M5" s="28" t="s">
        <v>51</v>
      </c>
      <c r="N5" s="118" t="s">
        <v>51</v>
      </c>
      <c r="O5" s="28" t="s">
        <v>200</v>
      </c>
      <c r="P5" s="28" t="s">
        <v>205</v>
      </c>
      <c r="Q5" s="28" t="s">
        <v>206</v>
      </c>
      <c r="R5" s="118" t="s">
        <v>301</v>
      </c>
      <c r="S5" s="28" t="s">
        <v>141</v>
      </c>
      <c r="T5" s="28" t="s">
        <v>108</v>
      </c>
      <c r="U5" s="28" t="s">
        <v>25</v>
      </c>
      <c r="V5" s="116" t="s">
        <v>25</v>
      </c>
      <c r="W5" s="67" t="s">
        <v>25</v>
      </c>
      <c r="X5" s="61" t="s">
        <v>232</v>
      </c>
      <c r="Y5" s="6"/>
      <c r="Z5" s="4"/>
      <c r="AA5" s="40" t="s">
        <v>67</v>
      </c>
      <c r="AB5" s="40" t="s">
        <v>69</v>
      </c>
      <c r="AC5" s="106" t="s">
        <v>295</v>
      </c>
      <c r="AD5" s="40">
        <v>2024</v>
      </c>
      <c r="AE5" s="41" t="s">
        <v>69</v>
      </c>
      <c r="AF5" s="105" t="s">
        <v>295</v>
      </c>
      <c r="AG5" s="41">
        <v>2023</v>
      </c>
      <c r="AH5" s="41"/>
      <c r="AI5" s="41" t="s">
        <v>273</v>
      </c>
      <c r="AJ5" s="111" t="s">
        <v>273</v>
      </c>
      <c r="AK5" s="41" t="s">
        <v>285</v>
      </c>
      <c r="AL5" s="41" t="s">
        <v>216</v>
      </c>
      <c r="AM5" s="41" t="s">
        <v>286</v>
      </c>
      <c r="AN5" s="41" t="s">
        <v>288</v>
      </c>
      <c r="AO5" s="117" t="s">
        <v>20</v>
      </c>
      <c r="AP5" s="105" t="s">
        <v>65</v>
      </c>
      <c r="AQ5" s="111" t="s">
        <v>291</v>
      </c>
      <c r="AR5" s="41" t="s">
        <v>288</v>
      </c>
      <c r="AS5" s="41" t="s">
        <v>288</v>
      </c>
      <c r="AT5" s="117" t="s">
        <v>20</v>
      </c>
      <c r="AU5" s="105" t="s">
        <v>65</v>
      </c>
      <c r="AV5" s="117" t="s">
        <v>287</v>
      </c>
    </row>
    <row r="6" spans="1:48" x14ac:dyDescent="0.2">
      <c r="A6" s="9" t="s">
        <v>16</v>
      </c>
      <c r="B6" s="9"/>
      <c r="C6" s="6">
        <v>2023</v>
      </c>
      <c r="D6" s="44"/>
      <c r="E6" s="76" t="s">
        <v>23</v>
      </c>
      <c r="F6" s="55" t="s">
        <v>20</v>
      </c>
      <c r="G6" s="44" t="s">
        <v>50</v>
      </c>
      <c r="H6" s="44" t="s">
        <v>54</v>
      </c>
      <c r="I6" s="6"/>
      <c r="J6" s="6" t="s">
        <v>140</v>
      </c>
      <c r="K6" s="6" t="s">
        <v>24</v>
      </c>
      <c r="L6" s="6" t="s">
        <v>56</v>
      </c>
      <c r="M6" s="6" t="s">
        <v>62</v>
      </c>
      <c r="N6" s="119" t="s">
        <v>300</v>
      </c>
      <c r="O6" s="6" t="s">
        <v>201</v>
      </c>
      <c r="P6" s="6" t="s">
        <v>129</v>
      </c>
      <c r="Q6" s="6" t="s">
        <v>129</v>
      </c>
      <c r="R6" s="119" t="s">
        <v>129</v>
      </c>
      <c r="S6" s="6" t="s">
        <v>24</v>
      </c>
      <c r="T6" s="6" t="s">
        <v>109</v>
      </c>
      <c r="U6" s="6" t="s">
        <v>58</v>
      </c>
      <c r="V6" s="115" t="s">
        <v>27</v>
      </c>
      <c r="W6" s="66" t="s">
        <v>20</v>
      </c>
      <c r="X6" s="44" t="s">
        <v>60</v>
      </c>
      <c r="Y6" s="6"/>
      <c r="Z6" s="1" t="s">
        <v>233</v>
      </c>
      <c r="AA6" s="40" t="s">
        <v>65</v>
      </c>
      <c r="AB6" s="40" t="s">
        <v>70</v>
      </c>
      <c r="AC6" s="40" t="s">
        <v>70</v>
      </c>
      <c r="AD6" s="40"/>
      <c r="AE6" s="41" t="s">
        <v>70</v>
      </c>
      <c r="AF6" s="41" t="s">
        <v>70</v>
      </c>
      <c r="AG6" s="64"/>
      <c r="AH6" s="64"/>
      <c r="AI6" s="41" t="s">
        <v>155</v>
      </c>
      <c r="AJ6" s="112" t="s">
        <v>275</v>
      </c>
      <c r="AK6" s="98" t="s">
        <v>218</v>
      </c>
      <c r="AL6" s="98"/>
      <c r="AN6" s="41" t="s">
        <v>289</v>
      </c>
      <c r="AO6" s="117" t="s">
        <v>293</v>
      </c>
      <c r="AP6" s="105" t="s">
        <v>293</v>
      </c>
      <c r="AQ6" s="63"/>
      <c r="AR6" s="104">
        <v>7.6499999999999999E-2</v>
      </c>
      <c r="AS6" s="41" t="s">
        <v>293</v>
      </c>
      <c r="AT6" s="111" t="s">
        <v>293</v>
      </c>
      <c r="AU6" s="105" t="s">
        <v>293</v>
      </c>
      <c r="AV6" s="117" t="s">
        <v>51</v>
      </c>
    </row>
    <row r="7" spans="1:48" x14ac:dyDescent="0.2">
      <c r="A7" s="4"/>
      <c r="B7" s="4"/>
      <c r="C7" s="7"/>
      <c r="D7" s="43"/>
      <c r="E7" s="56"/>
      <c r="F7" s="56"/>
      <c r="G7" s="43"/>
      <c r="H7" s="4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7"/>
      <c r="W7" s="125"/>
      <c r="X7" s="45"/>
      <c r="Y7" s="4"/>
      <c r="Z7" s="4"/>
      <c r="AJ7" s="63"/>
      <c r="AO7" s="63"/>
      <c r="AQ7" s="63"/>
      <c r="AT7" s="63"/>
      <c r="AV7" s="117" t="s">
        <v>297</v>
      </c>
    </row>
    <row r="8" spans="1:48" x14ac:dyDescent="0.2">
      <c r="A8" s="11" t="s">
        <v>313</v>
      </c>
      <c r="B8" s="1"/>
      <c r="C8" s="7"/>
      <c r="D8" s="45"/>
      <c r="E8" s="56"/>
      <c r="F8" s="56"/>
      <c r="G8" s="43"/>
      <c r="H8" s="4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7"/>
      <c r="W8" s="68"/>
      <c r="X8" s="45"/>
      <c r="Y8" s="4"/>
      <c r="Z8" s="4"/>
      <c r="AJ8" s="63"/>
      <c r="AO8" s="63"/>
      <c r="AQ8" s="63"/>
      <c r="AT8" s="63"/>
      <c r="AV8" s="63"/>
    </row>
    <row r="9" spans="1:48" x14ac:dyDescent="0.2">
      <c r="A9" s="4" t="s">
        <v>24</v>
      </c>
      <c r="B9" s="4" t="s">
        <v>246</v>
      </c>
      <c r="C9" s="7"/>
      <c r="D9" s="43"/>
      <c r="E9" s="56"/>
      <c r="F9" s="57"/>
      <c r="G9" s="45"/>
      <c r="H9" s="45"/>
      <c r="I9" s="7">
        <f>AD9+AT9-H9-L9-M9-O9-P9-Q9-S9-T9</f>
        <v>137232.77516811897</v>
      </c>
      <c r="J9" s="7"/>
      <c r="K9" s="7"/>
      <c r="L9" s="7">
        <f>(AE9)*0.0125</f>
        <v>1174.3901250000001</v>
      </c>
      <c r="M9" s="7">
        <f>(AE9)*0.05</f>
        <v>4697.5605000000005</v>
      </c>
      <c r="N9" s="7"/>
      <c r="O9" s="7">
        <f>(AD9+AT9)*0.02</f>
        <v>3079.214297773312</v>
      </c>
      <c r="P9" s="7">
        <f>0.05*AG9</f>
        <v>4697.5605000000005</v>
      </c>
      <c r="Q9" s="7">
        <f>(AD9+AT9)*0.02</f>
        <v>3079.214297773312</v>
      </c>
      <c r="R9" s="7"/>
      <c r="S9" s="7"/>
      <c r="T9" s="22"/>
      <c r="U9" s="7"/>
      <c r="V9" s="57">
        <f>H9+I9+J9+K9+L9+M9+N9+O9+P9+Q9+R9+S9+T9</f>
        <v>153960.71488866559</v>
      </c>
      <c r="W9" s="68">
        <f>AD9+AT9</f>
        <v>153960.71488866559</v>
      </c>
      <c r="X9" s="45">
        <f t="shared" ref="X9:X14" si="0">W9-C9</f>
        <v>153960.71488866559</v>
      </c>
      <c r="Y9" s="7"/>
      <c r="Z9" s="4" t="s">
        <v>133</v>
      </c>
      <c r="AA9" s="29">
        <f>AE9/AF9-1</f>
        <v>1.0000000000000009E-2</v>
      </c>
      <c r="AB9" s="15">
        <f>AC9*1.01/2+(8500*7)</f>
        <v>107187.7156</v>
      </c>
      <c r="AC9" s="15">
        <v>94431.12</v>
      </c>
      <c r="AD9" s="15">
        <f>AB9</f>
        <v>107187.7156</v>
      </c>
      <c r="AE9" s="15">
        <f>AF9*1.01</f>
        <v>93951.21</v>
      </c>
      <c r="AF9" s="15">
        <v>93021</v>
      </c>
      <c r="AG9" s="15">
        <f>AE9</f>
        <v>93951.21</v>
      </c>
      <c r="AH9" s="15"/>
      <c r="AI9" s="15" t="s">
        <v>274</v>
      </c>
      <c r="AJ9" s="102">
        <v>930.76</v>
      </c>
      <c r="AK9" s="81">
        <v>19.2</v>
      </c>
      <c r="AL9">
        <v>43.86</v>
      </c>
      <c r="AM9" s="81">
        <f t="shared" ref="AM9:AM20" si="1">AD9*0.009576/12</f>
        <v>85.535797048799978</v>
      </c>
      <c r="AN9" s="74">
        <f t="shared" ref="AN9:AN20" si="2">AD9*0.2334/12</f>
        <v>2084.8010684199999</v>
      </c>
      <c r="AO9" s="113">
        <f>(AJ9+AK9+AL9+AM9+AN9)*12</f>
        <v>37969.882385625599</v>
      </c>
      <c r="AP9" s="110">
        <f>AO9/AD9</f>
        <v>0.35423725725549093</v>
      </c>
      <c r="AQ9" s="114">
        <f t="shared" ref="AQ9:AQ20" si="3">(AD9*0.19/100)/12</f>
        <v>16.971388303333331</v>
      </c>
      <c r="AR9" s="81">
        <f t="shared" ref="AR9:AR20" si="4">AD9*0.0765/12</f>
        <v>683.32168695000007</v>
      </c>
      <c r="AS9">
        <v>33.299999999999997</v>
      </c>
      <c r="AT9" s="102">
        <f>(AJ9+AK9+AL9+AM9+AN9+AQ9+AR9+AS9)*12</f>
        <v>46772.999288665604</v>
      </c>
      <c r="AU9" s="29">
        <f>AT9/AD9</f>
        <v>0.43636529640403687</v>
      </c>
      <c r="AV9" s="102">
        <f>AD9+AO9</f>
        <v>145157.59798562559</v>
      </c>
    </row>
    <row r="10" spans="1:48" x14ac:dyDescent="0.2">
      <c r="A10" s="4" t="s">
        <v>245</v>
      </c>
      <c r="B10" s="4" t="s">
        <v>247</v>
      </c>
      <c r="C10" s="7"/>
      <c r="D10" s="43"/>
      <c r="E10" s="56"/>
      <c r="F10" s="57"/>
      <c r="G10" s="45"/>
      <c r="H10" s="45"/>
      <c r="I10" s="7"/>
      <c r="J10" s="7"/>
      <c r="K10" s="7">
        <f>AD10+AT10-O10-Q10-R10</f>
        <v>74517.798891600018</v>
      </c>
      <c r="L10" s="7"/>
      <c r="M10" s="7"/>
      <c r="N10" s="7"/>
      <c r="O10" s="7">
        <f>(AD10+AT10)*0.05</f>
        <v>4383.3999347999998</v>
      </c>
      <c r="P10" s="7"/>
      <c r="Q10" s="7">
        <f>(AD10+AT10)*0.05</f>
        <v>4383.3999347999998</v>
      </c>
      <c r="R10" s="7">
        <f>(AD10+AT10)*0.05</f>
        <v>4383.3999347999998</v>
      </c>
      <c r="S10" s="7"/>
      <c r="T10" s="22"/>
      <c r="U10" s="7"/>
      <c r="V10" s="57">
        <f t="shared" ref="V10:V28" si="5">H10+I10+J10+K10+L10+M10+N10+O10+P10+Q10+R10+S10+T10</f>
        <v>87667.998695999995</v>
      </c>
      <c r="W10" s="68">
        <f t="shared" ref="W10:W38" si="6">AD10+AT10</f>
        <v>87667.998695999995</v>
      </c>
      <c r="X10" s="45">
        <f t="shared" si="0"/>
        <v>87667.998695999995</v>
      </c>
      <c r="Y10" s="7"/>
      <c r="Z10" s="4" t="s">
        <v>204</v>
      </c>
      <c r="AA10" s="29">
        <f>AB10/AC10-1</f>
        <v>2.9288258119385624E-2</v>
      </c>
      <c r="AB10" s="100">
        <v>58092</v>
      </c>
      <c r="AC10" s="100">
        <v>56439</v>
      </c>
      <c r="AD10" s="15">
        <f>((AC10/12*9)+(AB10/12*3))</f>
        <v>56852.25</v>
      </c>
      <c r="AE10" s="15"/>
      <c r="AF10" s="15">
        <v>44260</v>
      </c>
      <c r="AG10" s="15">
        <f>AF10/12*4</f>
        <v>14753.333333333334</v>
      </c>
      <c r="AH10" s="15"/>
      <c r="AI10" s="15" t="s">
        <v>277</v>
      </c>
      <c r="AJ10" s="102">
        <v>949.04</v>
      </c>
      <c r="AK10" s="81">
        <v>19.2</v>
      </c>
      <c r="AL10">
        <v>43.86</v>
      </c>
      <c r="AM10" s="81">
        <f t="shared" si="1"/>
        <v>45.368095500000003</v>
      </c>
      <c r="AN10" s="74">
        <f t="shared" si="2"/>
        <v>1105.7762625</v>
      </c>
      <c r="AO10" s="113">
        <f t="shared" ref="AO10:AO38" si="7">(AJ10+AK10+AL10+AM10+AN10)*12</f>
        <v>25958.932295999999</v>
      </c>
      <c r="AP10" s="110">
        <f t="shared" ref="AP10:AP40" si="8">AO10/AD10</f>
        <v>0.45660342899357542</v>
      </c>
      <c r="AQ10" s="114">
        <f t="shared" si="3"/>
        <v>9.00160625</v>
      </c>
      <c r="AR10" s="81">
        <f t="shared" si="4"/>
        <v>362.43309374999995</v>
      </c>
      <c r="AS10">
        <v>33.299999999999997</v>
      </c>
      <c r="AT10" s="102">
        <f t="shared" ref="AT10:AT38" si="9">(AJ10+AK10+AL10+AM10+AN10+AQ10+AR10+AS10)*12</f>
        <v>30815.748695999999</v>
      </c>
      <c r="AU10" s="29">
        <f t="shared" ref="AU10:AU40" si="10">AT10/AD10</f>
        <v>0.54203217455773511</v>
      </c>
      <c r="AV10" s="102">
        <f t="shared" ref="AV10:AV38" si="11">AD10+AO10</f>
        <v>82811.182295999999</v>
      </c>
    </row>
    <row r="11" spans="1:48" x14ac:dyDescent="0.2">
      <c r="A11" s="4" t="s">
        <v>102</v>
      </c>
      <c r="B11" s="4" t="s">
        <v>248</v>
      </c>
      <c r="C11" s="7"/>
      <c r="D11" s="43"/>
      <c r="E11" s="56"/>
      <c r="F11" s="56"/>
      <c r="G11" s="50"/>
      <c r="H11" s="50">
        <f>AD11+AT11-L11-M11-O11-P11-Q11-R11</f>
        <v>66684.829908089989</v>
      </c>
      <c r="I11" s="22"/>
      <c r="J11" s="22"/>
      <c r="K11" s="22"/>
      <c r="L11" s="22">
        <f>(AD11+AT11)*0.0125</f>
        <v>1431.0049336500001</v>
      </c>
      <c r="M11" s="22">
        <f>(AD11+AT11)*0.05</f>
        <v>5724.0197346000004</v>
      </c>
      <c r="N11" s="22"/>
      <c r="O11" s="7">
        <f>(AD11+AT11)*0.05</f>
        <v>5724.0197346000004</v>
      </c>
      <c r="P11" s="22">
        <f>(AD11+AT11)*0.15</f>
        <v>17172.0592038</v>
      </c>
      <c r="Q11" s="7">
        <f>(AD11+AT11)*0.1</f>
        <v>11448.039469200001</v>
      </c>
      <c r="R11" s="7">
        <f>(AD11+AT11)*0.055</f>
        <v>6296.4217080600001</v>
      </c>
      <c r="S11" s="22"/>
      <c r="T11" s="22"/>
      <c r="U11" s="7"/>
      <c r="V11" s="57">
        <f t="shared" si="5"/>
        <v>114480.394692</v>
      </c>
      <c r="W11" s="68">
        <f t="shared" si="6"/>
        <v>114480.394692</v>
      </c>
      <c r="X11" s="45">
        <f t="shared" si="0"/>
        <v>114480.394692</v>
      </c>
      <c r="Y11" s="7"/>
      <c r="Z11" s="4" t="s">
        <v>134</v>
      </c>
      <c r="AA11" s="73">
        <f>AE11/AF11-1</f>
        <v>1.9009768909022728E-2</v>
      </c>
      <c r="AB11" s="135">
        <f>81247+3600</f>
        <v>84847</v>
      </c>
      <c r="AC11" s="135">
        <f>79462+3600</f>
        <v>83062</v>
      </c>
      <c r="AD11" s="15">
        <f>((AC11/24*17)+(AB11/24*7))</f>
        <v>83582.625</v>
      </c>
      <c r="AE11" s="15">
        <v>73331</v>
      </c>
      <c r="AF11" s="15">
        <v>71963</v>
      </c>
      <c r="AG11" s="15">
        <f>(AF11/24*17)+AE11/24*7</f>
        <v>72362</v>
      </c>
      <c r="AH11" s="15"/>
      <c r="AI11" s="15" t="s">
        <v>276</v>
      </c>
      <c r="AJ11" s="102">
        <v>240</v>
      </c>
      <c r="AK11" s="81">
        <v>19.2</v>
      </c>
      <c r="AL11">
        <v>43.86</v>
      </c>
      <c r="AM11" s="81">
        <f t="shared" si="1"/>
        <v>66.698934749999992</v>
      </c>
      <c r="AN11" s="74">
        <f t="shared" si="2"/>
        <v>1625.68205625</v>
      </c>
      <c r="AO11" s="113">
        <f t="shared" si="7"/>
        <v>23945.291892000001</v>
      </c>
      <c r="AP11" s="110">
        <f t="shared" si="8"/>
        <v>0.28648647840385488</v>
      </c>
      <c r="AQ11" s="114">
        <f t="shared" si="3"/>
        <v>13.233915625</v>
      </c>
      <c r="AR11" s="81">
        <f t="shared" si="4"/>
        <v>532.83923437500005</v>
      </c>
      <c r="AS11">
        <v>33.299999999999997</v>
      </c>
      <c r="AT11" s="102">
        <f t="shared" si="9"/>
        <v>30897.769692000002</v>
      </c>
      <c r="AU11" s="29">
        <f t="shared" si="10"/>
        <v>0.36966737634765601</v>
      </c>
      <c r="AV11" s="102">
        <f t="shared" si="11"/>
        <v>107527.91689200001</v>
      </c>
    </row>
    <row r="12" spans="1:48" x14ac:dyDescent="0.2">
      <c r="A12" s="12" t="s">
        <v>240</v>
      </c>
      <c r="B12" s="12" t="s">
        <v>249</v>
      </c>
      <c r="C12" s="7"/>
      <c r="D12" s="45"/>
      <c r="E12" s="57"/>
      <c r="F12" s="57"/>
      <c r="G12" s="45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>AD12+AT12</f>
        <v>103797.38363733335</v>
      </c>
      <c r="U12" s="7"/>
      <c r="V12" s="57">
        <f t="shared" si="5"/>
        <v>103797.38363733335</v>
      </c>
      <c r="W12" s="68">
        <f t="shared" si="6"/>
        <v>103797.38363733335</v>
      </c>
      <c r="X12" s="45">
        <f t="shared" si="0"/>
        <v>103797.38363733335</v>
      </c>
      <c r="Y12" s="7"/>
      <c r="Z12" s="4" t="s">
        <v>198</v>
      </c>
      <c r="AA12" s="73">
        <f>AB12/AC12-1</f>
        <v>2.5726849117280404E-2</v>
      </c>
      <c r="AB12" s="100">
        <f>61316+1200</f>
        <v>62516</v>
      </c>
      <c r="AC12" s="100">
        <f>59748+1200</f>
        <v>60948</v>
      </c>
      <c r="AD12" s="15">
        <f>(AC12/12*8)+(AB12/12*4)</f>
        <v>61470.666666666672</v>
      </c>
      <c r="AE12" s="15">
        <f>51620+1200</f>
        <v>52820</v>
      </c>
      <c r="AF12" s="15">
        <v>50146</v>
      </c>
      <c r="AG12" s="15">
        <f>AF12/24*16+AE12/24*8</f>
        <v>51037.333333333328</v>
      </c>
      <c r="AH12" s="15"/>
      <c r="AI12" s="15" t="s">
        <v>278</v>
      </c>
      <c r="AJ12" s="102">
        <v>1679.16</v>
      </c>
      <c r="AK12" s="81">
        <v>19.2</v>
      </c>
      <c r="AL12" s="81">
        <v>149.30000000000001</v>
      </c>
      <c r="AM12" s="81">
        <f t="shared" si="1"/>
        <v>49.053592000000002</v>
      </c>
      <c r="AN12" s="74">
        <f t="shared" si="2"/>
        <v>1195.6044666666667</v>
      </c>
      <c r="AO12" s="113">
        <f t="shared" si="7"/>
        <v>37107.816703999997</v>
      </c>
      <c r="AP12" s="110">
        <f t="shared" si="8"/>
        <v>0.60366706131921988</v>
      </c>
      <c r="AQ12" s="114">
        <f t="shared" si="3"/>
        <v>9.7328555555555578</v>
      </c>
      <c r="AR12" s="81">
        <f t="shared" si="4"/>
        <v>391.87550000000005</v>
      </c>
      <c r="AS12">
        <v>33.299999999999997</v>
      </c>
      <c r="AT12" s="102">
        <f t="shared" si="9"/>
        <v>42326.716970666668</v>
      </c>
      <c r="AU12" s="29">
        <f t="shared" si="10"/>
        <v>0.68856772288137424</v>
      </c>
      <c r="AV12" s="102">
        <f t="shared" si="11"/>
        <v>98578.483370666669</v>
      </c>
    </row>
    <row r="13" spans="1:48" x14ac:dyDescent="0.2">
      <c r="A13" s="12" t="s">
        <v>196</v>
      </c>
      <c r="B13" s="12" t="s">
        <v>250</v>
      </c>
      <c r="C13" s="7"/>
      <c r="D13" s="45"/>
      <c r="E13" s="57"/>
      <c r="F13" s="57"/>
      <c r="G13" s="45"/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>AD13+AT13</f>
        <v>81478.012824000005</v>
      </c>
      <c r="U13" s="7"/>
      <c r="V13" s="57">
        <f t="shared" si="5"/>
        <v>81478.012824000005</v>
      </c>
      <c r="W13" s="68">
        <f t="shared" si="6"/>
        <v>81478.012824000005</v>
      </c>
      <c r="X13" s="45">
        <f t="shared" si="0"/>
        <v>81478.012824000005</v>
      </c>
      <c r="Y13" s="7"/>
      <c r="Z13" s="4" t="s">
        <v>210</v>
      </c>
      <c r="AA13" s="73">
        <f>AB13/AC13-1</f>
        <v>3.2110180850443815E-2</v>
      </c>
      <c r="AB13" s="100">
        <v>53132</v>
      </c>
      <c r="AC13" s="100">
        <v>51479</v>
      </c>
      <c r="AD13" s="15">
        <f>(AC13/12*7)+(AB13/12*5)</f>
        <v>52167.75</v>
      </c>
      <c r="AE13" s="15"/>
      <c r="AF13" s="15">
        <v>44260</v>
      </c>
      <c r="AG13" s="15">
        <f>AF13/12*5</f>
        <v>18441.666666666668</v>
      </c>
      <c r="AH13" s="15"/>
      <c r="AI13" s="15" t="s">
        <v>277</v>
      </c>
      <c r="AJ13" s="102">
        <v>949.04</v>
      </c>
      <c r="AK13" s="81">
        <v>19.2</v>
      </c>
      <c r="AL13">
        <v>43.86</v>
      </c>
      <c r="AM13" s="81">
        <f t="shared" si="1"/>
        <v>41.629864499999996</v>
      </c>
      <c r="AN13" s="74">
        <f t="shared" si="2"/>
        <v>1014.6627374999999</v>
      </c>
      <c r="AO13" s="113">
        <f t="shared" si="7"/>
        <v>24820.711223999999</v>
      </c>
      <c r="AP13" s="110">
        <f t="shared" si="8"/>
        <v>0.47578650074039991</v>
      </c>
      <c r="AQ13" s="114">
        <f t="shared" si="3"/>
        <v>8.2598937499999998</v>
      </c>
      <c r="AR13" s="81">
        <f t="shared" si="4"/>
        <v>332.56940624999999</v>
      </c>
      <c r="AS13">
        <v>33.299999999999997</v>
      </c>
      <c r="AT13" s="102">
        <f t="shared" si="9"/>
        <v>29310.262824000005</v>
      </c>
      <c r="AU13" s="29">
        <f t="shared" si="10"/>
        <v>0.56184640556665766</v>
      </c>
      <c r="AV13" s="102">
        <f t="shared" si="11"/>
        <v>76988.461223999999</v>
      </c>
    </row>
    <row r="14" spans="1:48" x14ac:dyDescent="0.2">
      <c r="A14" s="4" t="s">
        <v>234</v>
      </c>
      <c r="B14" s="4" t="s">
        <v>251</v>
      </c>
      <c r="C14" s="7"/>
      <c r="D14" s="62"/>
      <c r="E14" s="57"/>
      <c r="F14" s="57"/>
      <c r="G14" s="45"/>
      <c r="H14" s="45"/>
      <c r="I14" s="7"/>
      <c r="J14" s="7"/>
      <c r="K14" s="7"/>
      <c r="L14" s="7">
        <f>AD14+AT14</f>
        <v>93030.69307733333</v>
      </c>
      <c r="M14" s="7"/>
      <c r="N14" s="7"/>
      <c r="O14" s="7"/>
      <c r="P14" s="7"/>
      <c r="Q14" s="7"/>
      <c r="R14" s="7"/>
      <c r="S14" s="7"/>
      <c r="T14" s="7"/>
      <c r="U14" s="7"/>
      <c r="V14" s="57">
        <f t="shared" si="5"/>
        <v>93030.69307733333</v>
      </c>
      <c r="W14" s="68">
        <f t="shared" si="6"/>
        <v>93030.69307733333</v>
      </c>
      <c r="X14" s="45">
        <f t="shared" si="0"/>
        <v>93030.69307733333</v>
      </c>
      <c r="Y14" s="7"/>
      <c r="Z14" s="4" t="s">
        <v>134</v>
      </c>
      <c r="AA14" s="73">
        <f t="shared" ref="AA14:AA15" si="12">AB14/AC14-1</f>
        <v>2.9711132421474051E-2</v>
      </c>
      <c r="AB14" s="135">
        <f>59405+1800</f>
        <v>61205</v>
      </c>
      <c r="AC14" s="136">
        <f>57639+1800</f>
        <v>59439</v>
      </c>
      <c r="AD14" s="15">
        <f>(AC14/12*2)+(AB14/12*10)</f>
        <v>60910.666666666672</v>
      </c>
      <c r="AE14" s="15">
        <v>50256</v>
      </c>
      <c r="AF14" s="15">
        <v>48504</v>
      </c>
      <c r="AG14" s="74">
        <f>(AE14/12*2)+(AF14/12*10)</f>
        <v>48796</v>
      </c>
      <c r="AH14" s="74"/>
      <c r="AI14" s="74" t="s">
        <v>277</v>
      </c>
      <c r="AJ14" s="102">
        <v>949.04</v>
      </c>
      <c r="AK14" s="81">
        <v>19.2</v>
      </c>
      <c r="AL14">
        <v>43.86</v>
      </c>
      <c r="AM14" s="81">
        <f t="shared" si="1"/>
        <v>48.606711999999995</v>
      </c>
      <c r="AN14" s="74">
        <f t="shared" si="2"/>
        <v>1184.7124666666666</v>
      </c>
      <c r="AO14" s="113">
        <f t="shared" si="7"/>
        <v>26945.030143999997</v>
      </c>
      <c r="AP14" s="110">
        <f t="shared" si="8"/>
        <v>0.44236964752752655</v>
      </c>
      <c r="AQ14" s="114">
        <f t="shared" si="3"/>
        <v>9.6441888888888894</v>
      </c>
      <c r="AR14" s="81">
        <f t="shared" si="4"/>
        <v>388.30549999999999</v>
      </c>
      <c r="AS14">
        <v>33.299999999999997</v>
      </c>
      <c r="AT14" s="102">
        <f t="shared" si="9"/>
        <v>32120.026410666665</v>
      </c>
      <c r="AU14" s="29">
        <f t="shared" si="10"/>
        <v>0.52733007481995486</v>
      </c>
      <c r="AV14" s="102">
        <f t="shared" si="11"/>
        <v>87855.696810666675</v>
      </c>
    </row>
    <row r="15" spans="1:48" x14ac:dyDescent="0.2">
      <c r="A15" s="4" t="s">
        <v>243</v>
      </c>
      <c r="B15" s="4" t="s">
        <v>252</v>
      </c>
      <c r="C15" s="7"/>
      <c r="D15" s="62"/>
      <c r="E15" s="57"/>
      <c r="F15" s="57"/>
      <c r="G15" s="45"/>
      <c r="H15" s="45"/>
      <c r="I15" s="7"/>
      <c r="J15" s="7"/>
      <c r="K15" s="7"/>
      <c r="L15" s="7"/>
      <c r="M15" s="7"/>
      <c r="N15" s="7">
        <f>AD15+AT15</f>
        <v>91667.033045333344</v>
      </c>
      <c r="O15" s="7"/>
      <c r="P15" s="7"/>
      <c r="Q15" s="7"/>
      <c r="R15" s="7"/>
      <c r="S15" s="7"/>
      <c r="T15" s="7"/>
      <c r="U15" s="7"/>
      <c r="V15" s="57">
        <f t="shared" si="5"/>
        <v>91667.033045333344</v>
      </c>
      <c r="W15" s="68">
        <f t="shared" si="6"/>
        <v>91667.033045333344</v>
      </c>
      <c r="X15" s="45"/>
      <c r="Y15" s="7"/>
      <c r="Z15" s="4"/>
      <c r="AA15" s="73">
        <f t="shared" si="12"/>
        <v>2.6243556269665902E-2</v>
      </c>
      <c r="AB15" s="100">
        <v>61316</v>
      </c>
      <c r="AC15" s="100">
        <v>59748</v>
      </c>
      <c r="AD15" s="15">
        <f>(AC15/12*11)+(AB15/12*1)</f>
        <v>59878.666666666664</v>
      </c>
      <c r="AE15" s="15"/>
      <c r="AF15" s="15"/>
      <c r="AG15" s="74"/>
      <c r="AH15" s="74"/>
      <c r="AI15" s="74" t="s">
        <v>277</v>
      </c>
      <c r="AJ15" s="102">
        <v>949.04</v>
      </c>
      <c r="AK15" s="81">
        <v>19.2</v>
      </c>
      <c r="AL15">
        <v>43.86</v>
      </c>
      <c r="AM15" s="81">
        <f t="shared" si="1"/>
        <v>47.783175999999997</v>
      </c>
      <c r="AN15" s="74">
        <f t="shared" si="2"/>
        <v>1164.6400666666666</v>
      </c>
      <c r="AO15" s="113">
        <f t="shared" si="7"/>
        <v>26694.278912000002</v>
      </c>
      <c r="AP15" s="110">
        <f t="shared" si="8"/>
        <v>0.44580616767240422</v>
      </c>
      <c r="AQ15" s="114">
        <f t="shared" si="3"/>
        <v>9.48078888888889</v>
      </c>
      <c r="AR15" s="81">
        <f t="shared" si="4"/>
        <v>381.72649999999999</v>
      </c>
      <c r="AS15">
        <v>33.299999999999997</v>
      </c>
      <c r="AT15" s="102">
        <f t="shared" si="9"/>
        <v>31788.366378666673</v>
      </c>
      <c r="AU15" s="29">
        <f t="shared" si="10"/>
        <v>0.53087966296288058</v>
      </c>
      <c r="AV15" s="102">
        <f t="shared" si="11"/>
        <v>86572.945578666666</v>
      </c>
    </row>
    <row r="16" spans="1:48" x14ac:dyDescent="0.2">
      <c r="A16" s="4" t="s">
        <v>199</v>
      </c>
      <c r="B16" s="4" t="s">
        <v>253</v>
      </c>
      <c r="C16" s="7"/>
      <c r="D16" s="62"/>
      <c r="E16" s="57"/>
      <c r="F16" s="57"/>
      <c r="G16" s="45"/>
      <c r="H16" s="45"/>
      <c r="I16" s="7"/>
      <c r="J16" s="7"/>
      <c r="K16" s="7"/>
      <c r="L16" s="7"/>
      <c r="M16" s="7"/>
      <c r="N16" s="7"/>
      <c r="O16" s="7">
        <f>AD16+AT16</f>
        <v>121528.749912</v>
      </c>
      <c r="P16" s="7"/>
      <c r="Q16" s="7"/>
      <c r="R16" s="7"/>
      <c r="S16" s="7"/>
      <c r="T16" s="7"/>
      <c r="U16" s="7"/>
      <c r="V16" s="57">
        <f t="shared" si="5"/>
        <v>121528.749912</v>
      </c>
      <c r="W16" s="68">
        <f t="shared" si="6"/>
        <v>121528.749912</v>
      </c>
      <c r="X16" s="45">
        <f>W16-C16</f>
        <v>121528.749912</v>
      </c>
      <c r="Y16" s="7"/>
      <c r="Z16" s="4" t="s">
        <v>211</v>
      </c>
      <c r="AA16" s="73">
        <f>AB16/AC16-1</f>
        <v>2.1965986561984785E-2</v>
      </c>
      <c r="AB16" s="135">
        <f>81247+1800</f>
        <v>83047</v>
      </c>
      <c r="AC16" s="135">
        <f>79462+1800</f>
        <v>81262</v>
      </c>
      <c r="AD16" s="15">
        <f>(AC16/12*7)+(AB16/12*5)</f>
        <v>82005.75</v>
      </c>
      <c r="AE16" s="15"/>
      <c r="AF16" s="15">
        <v>53160</v>
      </c>
      <c r="AG16" s="74">
        <f>AF16/12*5</f>
        <v>22150</v>
      </c>
      <c r="AH16" s="74"/>
      <c r="AI16" s="74" t="s">
        <v>277</v>
      </c>
      <c r="AJ16" s="102">
        <v>949.04</v>
      </c>
      <c r="AK16" s="81">
        <v>19.2</v>
      </c>
      <c r="AL16">
        <v>95.82</v>
      </c>
      <c r="AM16" s="81">
        <f t="shared" si="1"/>
        <v>65.440588500000004</v>
      </c>
      <c r="AN16" s="74">
        <f t="shared" si="2"/>
        <v>1595.0118375</v>
      </c>
      <c r="AO16" s="113">
        <f t="shared" si="7"/>
        <v>32694.149112000003</v>
      </c>
      <c r="AP16" s="110">
        <f t="shared" si="8"/>
        <v>0.39868117920999446</v>
      </c>
      <c r="AQ16" s="114">
        <f t="shared" si="3"/>
        <v>12.984243749999999</v>
      </c>
      <c r="AR16" s="81">
        <f t="shared" si="4"/>
        <v>522.78665624999996</v>
      </c>
      <c r="AS16">
        <v>33.299999999999997</v>
      </c>
      <c r="AT16" s="102">
        <f t="shared" si="9"/>
        <v>39522.999912000007</v>
      </c>
      <c r="AU16" s="29">
        <f t="shared" si="10"/>
        <v>0.48195400824942164</v>
      </c>
      <c r="AV16" s="102">
        <f t="shared" si="11"/>
        <v>114699.899112</v>
      </c>
    </row>
    <row r="17" spans="1:48" x14ac:dyDescent="0.2">
      <c r="A17" s="4" t="s">
        <v>202</v>
      </c>
      <c r="B17" s="4" t="s">
        <v>254</v>
      </c>
      <c r="C17" s="7"/>
      <c r="D17" s="62"/>
      <c r="E17" s="57"/>
      <c r="F17" s="57"/>
      <c r="G17" s="45"/>
      <c r="H17" s="45"/>
      <c r="I17" s="7"/>
      <c r="J17" s="7"/>
      <c r="K17" s="7"/>
      <c r="L17" s="7"/>
      <c r="M17" s="7"/>
      <c r="N17" s="7"/>
      <c r="O17" s="7">
        <f>AD17+AT17</f>
        <v>81186.785354666674</v>
      </c>
      <c r="P17" s="7"/>
      <c r="Q17" s="7"/>
      <c r="R17" s="7"/>
      <c r="S17" s="7"/>
      <c r="T17" s="7"/>
      <c r="U17" s="7"/>
      <c r="V17" s="57">
        <f t="shared" si="5"/>
        <v>81186.785354666674</v>
      </c>
      <c r="W17" s="68">
        <f t="shared" si="6"/>
        <v>81186.785354666674</v>
      </c>
      <c r="X17" s="45">
        <f>W17-C17</f>
        <v>81186.785354666674</v>
      </c>
      <c r="Y17" s="7"/>
      <c r="Z17" s="4" t="s">
        <v>209</v>
      </c>
      <c r="AA17" s="73">
        <f>AB17/AC17-1</f>
        <v>3.7402011164177962E-2</v>
      </c>
      <c r="AB17" s="100">
        <v>51479</v>
      </c>
      <c r="AC17" s="100">
        <v>49623</v>
      </c>
      <c r="AD17" s="15">
        <f>(AC17/12*7)+(AB17/12*5)</f>
        <v>50396.333333333336</v>
      </c>
      <c r="AE17" s="15"/>
      <c r="AF17" s="15">
        <v>42608</v>
      </c>
      <c r="AG17" s="74">
        <f>AF17/12*5</f>
        <v>17753.333333333332</v>
      </c>
      <c r="AH17" s="74"/>
      <c r="AI17" s="74" t="s">
        <v>279</v>
      </c>
      <c r="AJ17" s="113">
        <v>1066.3</v>
      </c>
      <c r="AK17" s="81">
        <v>19.2</v>
      </c>
      <c r="AL17">
        <v>97.39</v>
      </c>
      <c r="AM17" s="81">
        <f t="shared" si="1"/>
        <v>40.216273999999999</v>
      </c>
      <c r="AN17" s="74">
        <f t="shared" si="2"/>
        <v>980.2086833333334</v>
      </c>
      <c r="AO17" s="113">
        <f t="shared" si="7"/>
        <v>26439.779488</v>
      </c>
      <c r="AP17" s="110">
        <f t="shared" si="8"/>
        <v>0.52463696739842181</v>
      </c>
      <c r="AQ17" s="114">
        <f t="shared" si="3"/>
        <v>7.9794194444444448</v>
      </c>
      <c r="AR17" s="81">
        <f t="shared" si="4"/>
        <v>321.27662500000002</v>
      </c>
      <c r="AS17">
        <v>33.299999999999997</v>
      </c>
      <c r="AT17" s="102">
        <f t="shared" si="9"/>
        <v>30790.452021333338</v>
      </c>
      <c r="AU17" s="29">
        <f t="shared" si="10"/>
        <v>0.61096611568301928</v>
      </c>
      <c r="AV17" s="102">
        <f t="shared" si="11"/>
        <v>76836.112821333343</v>
      </c>
    </row>
    <row r="18" spans="1:48" x14ac:dyDescent="0.2">
      <c r="A18" s="4" t="s">
        <v>78</v>
      </c>
      <c r="B18" s="4" t="s">
        <v>255</v>
      </c>
      <c r="C18" s="7"/>
      <c r="D18" s="63"/>
      <c r="E18" s="57"/>
      <c r="F18" s="57"/>
      <c r="G18" s="45"/>
      <c r="H18" s="45"/>
      <c r="I18" s="7"/>
      <c r="J18" s="7"/>
      <c r="K18" s="7"/>
      <c r="L18" s="7"/>
      <c r="M18" s="7">
        <f>(AD18+AT18)-T18-G18</f>
        <v>48539.731531946658</v>
      </c>
      <c r="N18" s="7"/>
      <c r="O18" s="7"/>
      <c r="P18" s="7"/>
      <c r="Q18" s="7"/>
      <c r="R18" s="7"/>
      <c r="S18" s="7"/>
      <c r="T18" s="7">
        <f>(AD18+AT18)*0.3</f>
        <v>20802.742085119997</v>
      </c>
      <c r="U18" s="7"/>
      <c r="V18" s="57">
        <f t="shared" si="5"/>
        <v>69342.473617066658</v>
      </c>
      <c r="W18" s="68">
        <f t="shared" si="6"/>
        <v>69342.473617066658</v>
      </c>
      <c r="X18" s="45">
        <f>W18-C18</f>
        <v>69342.473617066658</v>
      </c>
      <c r="Y18" s="7"/>
      <c r="Z18" s="4" t="s">
        <v>137</v>
      </c>
      <c r="AA18" s="73">
        <f>AE18/AF18-1</f>
        <v>2.9394169026442762E-2</v>
      </c>
      <c r="AB18" s="100">
        <f>61316+1200</f>
        <v>62516</v>
      </c>
      <c r="AC18" s="100">
        <f>59748+1200</f>
        <v>60948</v>
      </c>
      <c r="AD18" s="15">
        <f>((AC18/24*17)+(AB18/24*7))*0.7</f>
        <v>42983.73333333333</v>
      </c>
      <c r="AE18" s="15">
        <v>51620</v>
      </c>
      <c r="AF18" s="15">
        <v>50146</v>
      </c>
      <c r="AG18" s="74">
        <f>(AF18/24*17+AE18/24*7)*0.8</f>
        <v>40460.733333333337</v>
      </c>
      <c r="AH18" s="74"/>
      <c r="AI18" s="74" t="s">
        <v>277</v>
      </c>
      <c r="AJ18" s="113">
        <v>949.04</v>
      </c>
      <c r="AK18" s="81">
        <v>19.2</v>
      </c>
      <c r="AL18">
        <v>43.86</v>
      </c>
      <c r="AM18" s="81">
        <f t="shared" si="1"/>
        <v>34.301019199999992</v>
      </c>
      <c r="AN18" s="74">
        <f t="shared" si="2"/>
        <v>836.03361333333316</v>
      </c>
      <c r="AO18" s="113">
        <f t="shared" si="7"/>
        <v>22589.215590399996</v>
      </c>
      <c r="AP18" s="110">
        <f t="shared" si="8"/>
        <v>0.52552940004590876</v>
      </c>
      <c r="AQ18" s="114">
        <f t="shared" si="3"/>
        <v>6.805757777777778</v>
      </c>
      <c r="AR18" s="81">
        <f t="shared" si="4"/>
        <v>274.02129999999994</v>
      </c>
      <c r="AS18">
        <v>33.299999999999997</v>
      </c>
      <c r="AT18" s="102">
        <f t="shared" si="9"/>
        <v>26358.740283733328</v>
      </c>
      <c r="AU18" s="29">
        <f t="shared" si="10"/>
        <v>0.61322594013239107</v>
      </c>
      <c r="AV18" s="102">
        <f t="shared" si="11"/>
        <v>65572.948923733318</v>
      </c>
    </row>
    <row r="19" spans="1:48" x14ac:dyDescent="0.2">
      <c r="A19" s="4" t="s">
        <v>126</v>
      </c>
      <c r="B19" s="4" t="s">
        <v>256</v>
      </c>
      <c r="C19" s="7"/>
      <c r="D19" s="63"/>
      <c r="E19" s="57"/>
      <c r="F19" s="57"/>
      <c r="G19" s="45"/>
      <c r="H19" s="45"/>
      <c r="I19" s="7"/>
      <c r="J19" s="7">
        <f>AD19+AT19-L19-M19-P19-T19</f>
        <v>69667.335743466669</v>
      </c>
      <c r="K19" s="7"/>
      <c r="L19" s="7">
        <f>AG19*0.0125</f>
        <v>498.18333333333339</v>
      </c>
      <c r="M19" s="81">
        <f>AG19*0.0125</f>
        <v>498.18333333333339</v>
      </c>
      <c r="N19" s="81"/>
      <c r="O19" s="7"/>
      <c r="P19" s="22">
        <f>AG19*0.05</f>
        <v>1992.7333333333336</v>
      </c>
      <c r="T19" s="7">
        <f>(AD19+AT19)*0.05</f>
        <v>3824.0229338666672</v>
      </c>
      <c r="U19" s="7"/>
      <c r="V19" s="57">
        <f t="shared" si="5"/>
        <v>76480.458677333343</v>
      </c>
      <c r="W19" s="68">
        <f t="shared" si="6"/>
        <v>76480.458677333343</v>
      </c>
      <c r="X19" s="45">
        <f>W19-C19</f>
        <v>76480.458677333343</v>
      </c>
      <c r="Y19" s="7"/>
      <c r="Z19" s="4" t="s">
        <v>135</v>
      </c>
      <c r="AA19" s="73">
        <f>AB19/AC19-1</f>
        <v>3.8855276655431537E-2</v>
      </c>
      <c r="AB19" s="100">
        <v>49623</v>
      </c>
      <c r="AC19" s="100">
        <v>47767</v>
      </c>
      <c r="AD19" s="15">
        <f>((AC19/12*8)+(AB19/12*4))</f>
        <v>48385.666666666672</v>
      </c>
      <c r="AE19" s="15">
        <v>40956</v>
      </c>
      <c r="AF19" s="15">
        <v>39304</v>
      </c>
      <c r="AG19" s="15">
        <f>AF19/24*16+AE19/24*8</f>
        <v>39854.666666666672</v>
      </c>
      <c r="AH19" s="15"/>
      <c r="AI19" s="15" t="s">
        <v>277</v>
      </c>
      <c r="AJ19" s="113">
        <v>949.04</v>
      </c>
      <c r="AK19" s="81">
        <v>19.2</v>
      </c>
      <c r="AL19">
        <v>43.86</v>
      </c>
      <c r="AM19" s="81">
        <f t="shared" si="1"/>
        <v>38.611762000000006</v>
      </c>
      <c r="AN19" s="74">
        <f t="shared" si="2"/>
        <v>941.1012166666668</v>
      </c>
      <c r="AO19" s="113">
        <f t="shared" si="7"/>
        <v>23901.755744000002</v>
      </c>
      <c r="AP19" s="110">
        <f t="shared" si="8"/>
        <v>0.49398421868735232</v>
      </c>
      <c r="AQ19" s="114">
        <f t="shared" si="3"/>
        <v>7.66106388888889</v>
      </c>
      <c r="AR19" s="81">
        <f t="shared" si="4"/>
        <v>308.45862500000004</v>
      </c>
      <c r="AS19">
        <v>33.299999999999997</v>
      </c>
      <c r="AT19" s="102">
        <f t="shared" si="9"/>
        <v>28094.792010666672</v>
      </c>
      <c r="AU19" s="29">
        <f t="shared" si="10"/>
        <v>0.5806428627761665</v>
      </c>
      <c r="AV19" s="102">
        <f t="shared" si="11"/>
        <v>72287.422410666681</v>
      </c>
    </row>
    <row r="20" spans="1:48" x14ac:dyDescent="0.2">
      <c r="A20" t="s">
        <v>208</v>
      </c>
      <c r="B20" s="4" t="s">
        <v>257</v>
      </c>
      <c r="C20" s="7"/>
      <c r="D20" s="63"/>
      <c r="E20" s="57"/>
      <c r="F20" s="57"/>
      <c r="G20" s="45"/>
      <c r="H20" s="45"/>
      <c r="I20" s="7"/>
      <c r="J20" s="7"/>
      <c r="K20" s="7"/>
      <c r="L20" s="7">
        <f>(AD20+AT20)*0.0125</f>
        <v>1313.8233428000001</v>
      </c>
      <c r="M20" s="7"/>
      <c r="N20" s="7"/>
      <c r="O20" s="7">
        <f>(AD20+AT20)*0.05</f>
        <v>5255.2933712000004</v>
      </c>
      <c r="P20" s="7">
        <f>(AD20+AT20)*0.1</f>
        <v>10510.586742400001</v>
      </c>
      <c r="Q20" s="7">
        <f>(AD20+AT20)*0.2</f>
        <v>21021.173484800001</v>
      </c>
      <c r="R20" s="7">
        <f>(AD20+AT20)*0.125</f>
        <v>13138.233428</v>
      </c>
      <c r="S20" s="7">
        <f>AD20+AT20-L20-O20-P20-Q20-R20-T20</f>
        <v>43356.170312399998</v>
      </c>
      <c r="T20" s="7">
        <f t="shared" ref="T20" si="13">(AD20+AT20)*0.1</f>
        <v>10510.586742400001</v>
      </c>
      <c r="U20" s="7"/>
      <c r="V20" s="57">
        <f t="shared" si="5"/>
        <v>105105.86742400001</v>
      </c>
      <c r="W20" s="68">
        <f t="shared" si="6"/>
        <v>105105.867424</v>
      </c>
      <c r="X20" s="45">
        <f>W20-C20</f>
        <v>105105.867424</v>
      </c>
      <c r="Y20" s="7"/>
      <c r="Z20" s="4" t="s">
        <v>212</v>
      </c>
      <c r="AA20" s="73">
        <f>AB20/AC20-1</f>
        <v>2.0172451271647018E-2</v>
      </c>
      <c r="AB20" s="100">
        <f>68597+1800</f>
        <v>70397</v>
      </c>
      <c r="AC20" s="100">
        <f>67205+1800</f>
        <v>69005</v>
      </c>
      <c r="AD20" s="15">
        <f>(AC20/12*3)+(AB20/12*9)</f>
        <v>70049</v>
      </c>
      <c r="AE20" s="15"/>
      <c r="AF20" s="15">
        <v>60050</v>
      </c>
      <c r="AG20" s="74">
        <f>AF20/24*18</f>
        <v>45037.5</v>
      </c>
      <c r="AH20" s="74"/>
      <c r="AI20" s="74" t="s">
        <v>277</v>
      </c>
      <c r="AJ20" s="113">
        <v>949.04</v>
      </c>
      <c r="AK20" s="81">
        <v>19.2</v>
      </c>
      <c r="AL20">
        <v>43.86</v>
      </c>
      <c r="AM20" s="81">
        <f t="shared" si="1"/>
        <v>55.899101999999999</v>
      </c>
      <c r="AN20" s="74">
        <f t="shared" si="2"/>
        <v>1362.4530499999998</v>
      </c>
      <c r="AO20" s="113">
        <f t="shared" si="7"/>
        <v>29165.425823999998</v>
      </c>
      <c r="AP20" s="110">
        <f t="shared" si="8"/>
        <v>0.41635749009978729</v>
      </c>
      <c r="AQ20" s="114">
        <f t="shared" si="3"/>
        <v>11.091091666666665</v>
      </c>
      <c r="AR20" s="81">
        <f t="shared" si="4"/>
        <v>446.56237499999997</v>
      </c>
      <c r="AS20">
        <v>33.299999999999997</v>
      </c>
      <c r="AT20" s="102">
        <f t="shared" si="9"/>
        <v>35056.867423999996</v>
      </c>
      <c r="AU20" s="29">
        <f t="shared" si="10"/>
        <v>0.50046206832360196</v>
      </c>
      <c r="AV20" s="102">
        <f t="shared" si="11"/>
        <v>99214.425824000005</v>
      </c>
    </row>
    <row r="21" spans="1:48" x14ac:dyDescent="0.2">
      <c r="A21" s="4"/>
      <c r="B21" s="4"/>
      <c r="C21" s="7"/>
      <c r="D21" s="63"/>
      <c r="E21" s="57"/>
      <c r="F21" s="57"/>
      <c r="G21" s="45"/>
      <c r="H21" s="4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57"/>
      <c r="W21" s="68"/>
      <c r="X21" s="45"/>
      <c r="Y21" s="7"/>
      <c r="Z21" s="4"/>
      <c r="AA21" s="73"/>
      <c r="AB21" s="15"/>
      <c r="AC21" s="15"/>
      <c r="AD21" s="15"/>
      <c r="AE21" s="15"/>
      <c r="AF21" s="15"/>
      <c r="AG21" s="74"/>
      <c r="AH21" s="74"/>
      <c r="AI21" s="74"/>
      <c r="AJ21" s="113"/>
      <c r="AK21" s="81"/>
      <c r="AM21" s="81"/>
      <c r="AN21" s="74"/>
      <c r="AO21" s="113"/>
      <c r="AP21" s="110"/>
      <c r="AQ21" s="114"/>
      <c r="AR21" s="81"/>
      <c r="AT21" s="102"/>
      <c r="AU21" s="29"/>
      <c r="AV21" s="102"/>
    </row>
    <row r="22" spans="1:48" x14ac:dyDescent="0.2">
      <c r="A22" s="4" t="s">
        <v>237</v>
      </c>
      <c r="B22" s="4" t="s">
        <v>258</v>
      </c>
      <c r="C22" s="7"/>
      <c r="D22" s="62"/>
      <c r="E22" s="57"/>
      <c r="F22" s="57"/>
      <c r="G22" s="45"/>
      <c r="H22" s="45"/>
      <c r="I22" s="7"/>
      <c r="J22" s="7"/>
      <c r="K22" s="7"/>
      <c r="L22" s="7"/>
      <c r="M22" s="7"/>
      <c r="N22" s="7"/>
      <c r="O22" s="7"/>
      <c r="P22" s="7">
        <f>AD22+AT22-R22</f>
        <v>95256.745324999996</v>
      </c>
      <c r="Q22" s="7"/>
      <c r="R22" s="7">
        <f t="shared" ref="R22:R23" si="14">(AD22+AT22)*0.125</f>
        <v>13608.106475000001</v>
      </c>
      <c r="S22" s="7"/>
      <c r="T22" s="7"/>
      <c r="U22" s="7"/>
      <c r="V22" s="57">
        <f t="shared" si="5"/>
        <v>108864.8518</v>
      </c>
      <c r="W22" s="68">
        <f t="shared" si="6"/>
        <v>108864.8518</v>
      </c>
      <c r="X22" s="45">
        <f t="shared" ref="X22:X27" si="15">W22-C22</f>
        <v>108864.8518</v>
      </c>
      <c r="Y22" s="7"/>
      <c r="Z22" s="4" t="s">
        <v>134</v>
      </c>
      <c r="AA22" s="73">
        <f>AB22/AC22-1</f>
        <v>2.0405320704784513E-2</v>
      </c>
      <c r="AB22" s="135">
        <f>71460+1800</f>
        <v>73260</v>
      </c>
      <c r="AC22" s="135">
        <f>69995+1800</f>
        <v>71795</v>
      </c>
      <c r="AD22" s="15">
        <f>(AC22/12*3)+(AB22/12*9)</f>
        <v>72893.75</v>
      </c>
      <c r="AE22" s="15">
        <v>72925</v>
      </c>
      <c r="AF22" s="15">
        <v>71531</v>
      </c>
      <c r="AG22" s="74">
        <f>(AE22/12*3)+(AF22/12*9)</f>
        <v>71879.5</v>
      </c>
      <c r="AH22" s="74"/>
      <c r="AI22" s="74" t="s">
        <v>277</v>
      </c>
      <c r="AJ22" s="113">
        <v>949.04</v>
      </c>
      <c r="AK22" s="81">
        <v>19.2</v>
      </c>
      <c r="AL22">
        <v>43.86</v>
      </c>
      <c r="AM22" s="81">
        <f t="shared" ref="AM22:AM29" si="16">AD22*0.009576/12</f>
        <v>58.169212499999993</v>
      </c>
      <c r="AN22" s="74">
        <f t="shared" ref="AN22:AN29" si="17">AD22*0.2334/12</f>
        <v>1417.7834375</v>
      </c>
      <c r="AO22" s="113">
        <f t="shared" si="7"/>
        <v>29856.631800000003</v>
      </c>
      <c r="AP22" s="110">
        <f t="shared" si="8"/>
        <v>0.40959110760524742</v>
      </c>
      <c r="AQ22" s="114">
        <f t="shared" ref="AQ22:AQ29" si="18">(AD22*0.19/100)/12</f>
        <v>11.541510416666666</v>
      </c>
      <c r="AR22" s="81">
        <f t="shared" ref="AR22:AR29" si="19">AD22*0.0765/12</f>
        <v>464.69765624999997</v>
      </c>
      <c r="AS22">
        <v>33.299999999999997</v>
      </c>
      <c r="AT22" s="102">
        <f t="shared" si="9"/>
        <v>35971.101800000004</v>
      </c>
      <c r="AU22" s="29">
        <f t="shared" si="10"/>
        <v>0.49347305907570954</v>
      </c>
      <c r="AV22" s="102">
        <f t="shared" si="11"/>
        <v>102750.3818</v>
      </c>
    </row>
    <row r="23" spans="1:48" x14ac:dyDescent="0.2">
      <c r="A23" s="4" t="s">
        <v>136</v>
      </c>
      <c r="B23" s="4" t="s">
        <v>259</v>
      </c>
      <c r="C23" s="7"/>
      <c r="D23" s="63"/>
      <c r="E23" s="57"/>
      <c r="F23" s="57"/>
      <c r="G23" s="45"/>
      <c r="H23" s="45"/>
      <c r="I23" s="7"/>
      <c r="J23" s="7"/>
      <c r="K23" s="7"/>
      <c r="L23" s="7"/>
      <c r="P23" s="7">
        <f>AD23+AT23-R23</f>
        <v>80567.952829000002</v>
      </c>
      <c r="Q23" s="7"/>
      <c r="R23" s="7">
        <f t="shared" si="14"/>
        <v>11509.707547</v>
      </c>
      <c r="T23" s="7"/>
      <c r="U23" s="7"/>
      <c r="V23" s="57">
        <f t="shared" si="5"/>
        <v>92077.660376</v>
      </c>
      <c r="W23" s="68">
        <f t="shared" si="6"/>
        <v>92077.660376</v>
      </c>
      <c r="X23" s="45">
        <f t="shared" si="15"/>
        <v>92077.660376</v>
      </c>
      <c r="Y23" s="7"/>
      <c r="Z23" s="4" t="s">
        <v>134</v>
      </c>
      <c r="AA23" s="73">
        <f>AB23/AC23-1</f>
        <v>3.0424059486122257E-2</v>
      </c>
      <c r="AB23" s="100">
        <f>54785+1200</f>
        <v>55985</v>
      </c>
      <c r="AC23" s="100">
        <f>53132+1200</f>
        <v>54332</v>
      </c>
      <c r="AD23" s="15">
        <f>(AC23/12*11)+(AB23/12*1)</f>
        <v>54469.75</v>
      </c>
      <c r="AE23" s="15">
        <v>43808</v>
      </c>
      <c r="AF23" s="15">
        <v>42156</v>
      </c>
      <c r="AG23" s="15">
        <f>AF23/24*19+AE23/24*5</f>
        <v>42500.166666666664</v>
      </c>
      <c r="AH23" s="15"/>
      <c r="AI23" s="15" t="s">
        <v>280</v>
      </c>
      <c r="AJ23" s="102">
        <v>1526.9</v>
      </c>
      <c r="AK23" s="81">
        <v>19.2</v>
      </c>
      <c r="AL23">
        <v>95.82</v>
      </c>
      <c r="AM23" s="81">
        <f t="shared" si="16"/>
        <v>43.466860499999996</v>
      </c>
      <c r="AN23" s="74">
        <f t="shared" si="17"/>
        <v>1059.4366375</v>
      </c>
      <c r="AO23" s="113">
        <f t="shared" si="7"/>
        <v>32937.881975999997</v>
      </c>
      <c r="AP23" s="110">
        <f t="shared" si="8"/>
        <v>0.60470044338371287</v>
      </c>
      <c r="AQ23" s="114">
        <f t="shared" si="18"/>
        <v>8.624377083333334</v>
      </c>
      <c r="AR23" s="81">
        <f t="shared" si="19"/>
        <v>347.24465624999999</v>
      </c>
      <c r="AS23">
        <v>33.299999999999997</v>
      </c>
      <c r="AT23" s="102">
        <f t="shared" si="9"/>
        <v>37607.910376</v>
      </c>
      <c r="AU23" s="29">
        <f t="shared" si="10"/>
        <v>0.69043662539299333</v>
      </c>
      <c r="AV23" s="102">
        <f t="shared" si="11"/>
        <v>87407.631976000004</v>
      </c>
    </row>
    <row r="24" spans="1:48" x14ac:dyDescent="0.2">
      <c r="A24" s="4" t="s">
        <v>203</v>
      </c>
      <c r="B24" s="4" t="s">
        <v>260</v>
      </c>
      <c r="C24" s="7"/>
      <c r="D24" s="63"/>
      <c r="E24" s="57"/>
      <c r="F24" s="63"/>
      <c r="G24" s="45"/>
      <c r="H24" s="45"/>
      <c r="I24" s="7"/>
      <c r="J24" s="7"/>
      <c r="K24" s="7"/>
      <c r="L24" s="7"/>
      <c r="P24" s="7"/>
      <c r="Q24" s="7">
        <f>AD24+AT24</f>
        <v>123352.640552</v>
      </c>
      <c r="R24" s="7"/>
      <c r="T24" s="7"/>
      <c r="U24" s="7"/>
      <c r="V24" s="57">
        <f t="shared" si="5"/>
        <v>123352.640552</v>
      </c>
      <c r="W24" s="68">
        <f t="shared" si="6"/>
        <v>123352.640552</v>
      </c>
      <c r="X24" s="45">
        <f t="shared" si="15"/>
        <v>123352.640552</v>
      </c>
      <c r="Y24" s="7"/>
      <c r="Z24" s="4" t="s">
        <v>213</v>
      </c>
      <c r="AA24" s="73">
        <f t="shared" ref="AA24:AA29" si="20">AB24/AC24-1</f>
        <v>2.1965986561984785E-2</v>
      </c>
      <c r="AB24" s="135">
        <f>81247+1800</f>
        <v>83047</v>
      </c>
      <c r="AC24" s="135">
        <f>79462+1800</f>
        <v>81262</v>
      </c>
      <c r="AD24" s="15">
        <f>(AC24/12*9)+(AB24/12*3)</f>
        <v>81708.25</v>
      </c>
      <c r="AE24" s="15"/>
      <c r="AF24" s="15">
        <f>51960+1200</f>
        <v>53160</v>
      </c>
      <c r="AG24" s="15">
        <f>AF24/12*4</f>
        <v>17720</v>
      </c>
      <c r="AH24" s="15"/>
      <c r="AI24" s="15" t="s">
        <v>281</v>
      </c>
      <c r="AJ24" s="102">
        <v>1132.22</v>
      </c>
      <c r="AK24" s="81">
        <v>19.2</v>
      </c>
      <c r="AL24">
        <v>97.39</v>
      </c>
      <c r="AM24" s="81">
        <f t="shared" si="16"/>
        <v>65.203183499999994</v>
      </c>
      <c r="AN24" s="74">
        <f t="shared" si="17"/>
        <v>1589.2254624999998</v>
      </c>
      <c r="AO24" s="113">
        <f t="shared" si="7"/>
        <v>34838.863751999997</v>
      </c>
      <c r="AP24" s="110">
        <f t="shared" si="8"/>
        <v>0.42638122529854694</v>
      </c>
      <c r="AQ24" s="114">
        <f t="shared" si="18"/>
        <v>12.937139583333334</v>
      </c>
      <c r="AR24" s="81">
        <f t="shared" si="19"/>
        <v>520.89009375000001</v>
      </c>
      <c r="AS24">
        <v>33.299999999999997</v>
      </c>
      <c r="AT24" s="102">
        <f t="shared" si="9"/>
        <v>41644.390551999997</v>
      </c>
      <c r="AU24" s="29">
        <f t="shared" si="10"/>
        <v>0.50967179632411652</v>
      </c>
      <c r="AV24" s="102">
        <f t="shared" si="11"/>
        <v>116547.113752</v>
      </c>
    </row>
    <row r="25" spans="1:48" x14ac:dyDescent="0.2">
      <c r="A25" s="4" t="s">
        <v>207</v>
      </c>
      <c r="B25" s="4" t="s">
        <v>261</v>
      </c>
      <c r="C25" s="7"/>
      <c r="D25" s="63"/>
      <c r="E25" s="57"/>
      <c r="F25" s="63"/>
      <c r="G25" s="45"/>
      <c r="H25" s="45"/>
      <c r="I25" s="7"/>
      <c r="J25" s="7"/>
      <c r="K25" s="7"/>
      <c r="L25" s="7"/>
      <c r="P25" s="7"/>
      <c r="Q25" s="7">
        <f>AD25+AT25</f>
        <v>98950.898015999992</v>
      </c>
      <c r="R25" s="7"/>
      <c r="T25" s="7"/>
      <c r="U25" s="7"/>
      <c r="V25" s="57">
        <f t="shared" si="5"/>
        <v>98950.898015999992</v>
      </c>
      <c r="W25" s="68">
        <f t="shared" si="6"/>
        <v>98950.898015999992</v>
      </c>
      <c r="X25" s="45">
        <f t="shared" si="15"/>
        <v>98950.898015999992</v>
      </c>
      <c r="Y25" s="7"/>
      <c r="Z25" s="4" t="s">
        <v>213</v>
      </c>
      <c r="AA25" s="73">
        <f t="shared" si="20"/>
        <v>2.4942270343013551E-2</v>
      </c>
      <c r="AB25" s="135">
        <f>65222+1800</f>
        <v>67022</v>
      </c>
      <c r="AC25" s="135">
        <f>63591+1800</f>
        <v>65391</v>
      </c>
      <c r="AD25" s="15">
        <f>(AC25/12*12)</f>
        <v>65391</v>
      </c>
      <c r="AE25" s="15"/>
      <c r="AF25" s="15">
        <f>51960+1200</f>
        <v>53160</v>
      </c>
      <c r="AG25" s="15">
        <f>AF25/12*4</f>
        <v>17720</v>
      </c>
      <c r="AH25" s="15"/>
      <c r="AI25" s="15" t="s">
        <v>277</v>
      </c>
      <c r="AJ25" s="102">
        <v>949.04</v>
      </c>
      <c r="AK25" s="81">
        <v>19.2</v>
      </c>
      <c r="AL25">
        <v>43.86</v>
      </c>
      <c r="AM25" s="81">
        <f t="shared" si="16"/>
        <v>52.182017999999999</v>
      </c>
      <c r="AN25" s="74">
        <f t="shared" si="17"/>
        <v>1271.8549499999999</v>
      </c>
      <c r="AO25" s="113">
        <f t="shared" si="7"/>
        <v>28033.643615999998</v>
      </c>
      <c r="AP25" s="110">
        <f t="shared" si="8"/>
        <v>0.42870798146533923</v>
      </c>
      <c r="AQ25" s="114">
        <f t="shared" si="18"/>
        <v>10.353575000000001</v>
      </c>
      <c r="AR25" s="81">
        <f t="shared" si="19"/>
        <v>416.86762500000003</v>
      </c>
      <c r="AS25">
        <v>33.299999999999997</v>
      </c>
      <c r="AT25" s="102">
        <f t="shared" si="9"/>
        <v>33559.898015999999</v>
      </c>
      <c r="AU25" s="29">
        <f t="shared" si="10"/>
        <v>0.51321891416249943</v>
      </c>
      <c r="AV25" s="102">
        <f t="shared" si="11"/>
        <v>93424.643616000001</v>
      </c>
    </row>
    <row r="26" spans="1:48" x14ac:dyDescent="0.2">
      <c r="A26" s="4" t="s">
        <v>236</v>
      </c>
      <c r="B26" s="4" t="s">
        <v>262</v>
      </c>
      <c r="C26" s="7"/>
      <c r="D26" s="63"/>
      <c r="E26" s="57"/>
      <c r="F26" s="63"/>
      <c r="G26" s="45"/>
      <c r="H26" s="45"/>
      <c r="I26" s="7"/>
      <c r="J26" s="7"/>
      <c r="K26" s="7"/>
      <c r="L26" s="7"/>
      <c r="P26" s="7"/>
      <c r="Q26" s="7">
        <f t="shared" ref="Q26:Q29" si="21">AD26+AT26</f>
        <v>97865.706392000007</v>
      </c>
      <c r="R26" s="7"/>
      <c r="T26" s="7"/>
      <c r="U26" s="7"/>
      <c r="V26" s="57">
        <f t="shared" si="5"/>
        <v>97865.706392000007</v>
      </c>
      <c r="W26" s="68">
        <f t="shared" si="6"/>
        <v>97865.706392000007</v>
      </c>
      <c r="X26" s="45">
        <f t="shared" si="15"/>
        <v>97865.706392000007</v>
      </c>
      <c r="Y26" s="7"/>
      <c r="Z26" s="4" t="s">
        <v>214</v>
      </c>
      <c r="AA26" s="73">
        <f t="shared" si="20"/>
        <v>2.2915469106840503E-2</v>
      </c>
      <c r="AB26" s="100">
        <v>65842</v>
      </c>
      <c r="AC26" s="100">
        <v>64367</v>
      </c>
      <c r="AD26" s="15">
        <f>(AC26/12*9)+(AB26/12*3)</f>
        <v>64735.75</v>
      </c>
      <c r="AE26" s="15"/>
      <c r="AF26" s="15">
        <v>48675</v>
      </c>
      <c r="AG26" s="15">
        <f>AF26/12*5</f>
        <v>20281.25</v>
      </c>
      <c r="AH26" s="15"/>
      <c r="AI26" s="15" t="s">
        <v>274</v>
      </c>
      <c r="AJ26" s="102">
        <v>930.76</v>
      </c>
      <c r="AK26" s="81">
        <v>19.2</v>
      </c>
      <c r="AL26">
        <v>43.86</v>
      </c>
      <c r="AM26" s="81">
        <f t="shared" si="16"/>
        <v>51.659128500000001</v>
      </c>
      <c r="AN26" s="74">
        <f t="shared" si="17"/>
        <v>1259.1103375</v>
      </c>
      <c r="AO26" s="113">
        <f t="shared" si="7"/>
        <v>27655.073592000004</v>
      </c>
      <c r="AP26" s="110">
        <f t="shared" si="8"/>
        <v>0.42719940051671612</v>
      </c>
      <c r="AQ26" s="114">
        <f t="shared" si="18"/>
        <v>10.249827083333333</v>
      </c>
      <c r="AR26" s="81">
        <f t="shared" si="19"/>
        <v>412.69040625000002</v>
      </c>
      <c r="AS26">
        <v>33.299999999999997</v>
      </c>
      <c r="AT26" s="102">
        <f t="shared" si="9"/>
        <v>33129.956392000007</v>
      </c>
      <c r="AU26" s="29">
        <f t="shared" si="10"/>
        <v>0.51177218757796128</v>
      </c>
      <c r="AV26" s="102">
        <f t="shared" si="11"/>
        <v>92390.823592000001</v>
      </c>
    </row>
    <row r="27" spans="1:48" x14ac:dyDescent="0.2">
      <c r="A27" s="4" t="s">
        <v>235</v>
      </c>
      <c r="B27" s="4" t="s">
        <v>263</v>
      </c>
      <c r="C27" s="7"/>
      <c r="D27" s="63"/>
      <c r="E27" s="57"/>
      <c r="F27" s="63"/>
      <c r="G27" s="45"/>
      <c r="H27" s="45"/>
      <c r="I27" s="7"/>
      <c r="J27" s="7"/>
      <c r="K27" s="7"/>
      <c r="L27" s="7"/>
      <c r="P27" s="7"/>
      <c r="Q27" s="7">
        <f t="shared" si="21"/>
        <v>73809.065279999995</v>
      </c>
      <c r="R27" s="7"/>
      <c r="T27" s="7"/>
      <c r="U27" s="7"/>
      <c r="V27" s="57">
        <f t="shared" si="5"/>
        <v>73809.065279999995</v>
      </c>
      <c r="W27" s="68">
        <f t="shared" si="6"/>
        <v>73809.065279999995</v>
      </c>
      <c r="X27" s="45">
        <f t="shared" si="15"/>
        <v>73809.065279999995</v>
      </c>
      <c r="Y27" s="7"/>
      <c r="Z27" s="4" t="s">
        <v>197</v>
      </c>
      <c r="AA27" s="73">
        <f t="shared" si="20"/>
        <v>0</v>
      </c>
      <c r="AB27" s="100">
        <v>46530</v>
      </c>
      <c r="AC27" s="100">
        <v>46530</v>
      </c>
      <c r="AD27" s="15">
        <f>(AC27/12*8)+(AB27/12*4)</f>
        <v>46530</v>
      </c>
      <c r="AE27" s="15"/>
      <c r="AF27" s="15">
        <v>44260</v>
      </c>
      <c r="AG27" s="15">
        <f>AF27/12*5</f>
        <v>18441.666666666668</v>
      </c>
      <c r="AH27" s="15"/>
      <c r="AI27" s="15" t="s">
        <v>274</v>
      </c>
      <c r="AJ27" s="102">
        <v>930.76</v>
      </c>
      <c r="AK27" s="81">
        <v>19.2</v>
      </c>
      <c r="AL27">
        <v>43.86</v>
      </c>
      <c r="AM27" s="81">
        <f t="shared" si="16"/>
        <v>37.130940000000002</v>
      </c>
      <c r="AN27" s="74">
        <f t="shared" si="17"/>
        <v>905.00849999999991</v>
      </c>
      <c r="AO27" s="113">
        <f t="shared" si="7"/>
        <v>23231.513279999999</v>
      </c>
      <c r="AP27" s="110">
        <f t="shared" si="8"/>
        <v>0.49928031979368148</v>
      </c>
      <c r="AQ27" s="114">
        <f t="shared" si="18"/>
        <v>7.3672500000000012</v>
      </c>
      <c r="AR27" s="81">
        <f t="shared" si="19"/>
        <v>296.62875000000003</v>
      </c>
      <c r="AS27">
        <v>33.299999999999997</v>
      </c>
      <c r="AT27" s="102">
        <f t="shared" si="9"/>
        <v>27279.065279999999</v>
      </c>
      <c r="AU27" s="29">
        <f t="shared" si="10"/>
        <v>0.58626832753062541</v>
      </c>
      <c r="AV27" s="102">
        <f t="shared" si="11"/>
        <v>69761.513279999999</v>
      </c>
    </row>
    <row r="28" spans="1:48" x14ac:dyDescent="0.2">
      <c r="A28" s="4" t="s">
        <v>239</v>
      </c>
      <c r="B28" s="4" t="s">
        <v>264</v>
      </c>
      <c r="C28" s="7"/>
      <c r="D28" s="63"/>
      <c r="E28" s="57"/>
      <c r="F28" s="63"/>
      <c r="G28" s="45"/>
      <c r="H28" s="45"/>
      <c r="I28" s="7"/>
      <c r="J28" s="7"/>
      <c r="K28" s="7"/>
      <c r="L28" s="7"/>
      <c r="P28" s="7"/>
      <c r="Q28" s="7">
        <f t="shared" si="21"/>
        <v>76261.098677333342</v>
      </c>
      <c r="R28" s="7"/>
      <c r="T28" s="7"/>
      <c r="U28" s="7"/>
      <c r="V28" s="57">
        <f t="shared" si="5"/>
        <v>76261.098677333342</v>
      </c>
      <c r="W28" s="68">
        <f t="shared" si="6"/>
        <v>76261.098677333342</v>
      </c>
      <c r="X28" s="45"/>
      <c r="Y28" s="7"/>
      <c r="Z28" s="4"/>
      <c r="AA28" s="73">
        <f t="shared" si="20"/>
        <v>3.8855276655431537E-2</v>
      </c>
      <c r="AB28" s="100">
        <v>49623</v>
      </c>
      <c r="AC28" s="100">
        <v>47767</v>
      </c>
      <c r="AD28" s="15">
        <f>(AC28/12*8)+(AB28/12*4)</f>
        <v>48385.666666666672</v>
      </c>
      <c r="AE28" s="15"/>
      <c r="AF28" s="15"/>
      <c r="AG28" s="15"/>
      <c r="AH28" s="15"/>
      <c r="AI28" s="15" t="s">
        <v>274</v>
      </c>
      <c r="AJ28" s="102">
        <v>930.76</v>
      </c>
      <c r="AK28" s="81">
        <v>19.2</v>
      </c>
      <c r="AL28">
        <v>43.86</v>
      </c>
      <c r="AM28" s="81">
        <f t="shared" si="16"/>
        <v>38.611762000000006</v>
      </c>
      <c r="AN28" s="74">
        <f t="shared" si="17"/>
        <v>941.1012166666668</v>
      </c>
      <c r="AO28" s="113">
        <f t="shared" si="7"/>
        <v>23682.395744000005</v>
      </c>
      <c r="AP28" s="110">
        <f t="shared" si="8"/>
        <v>0.48945064469505439</v>
      </c>
      <c r="AQ28" s="114">
        <f t="shared" si="18"/>
        <v>7.66106388888889</v>
      </c>
      <c r="AR28" s="81">
        <f t="shared" si="19"/>
        <v>308.45862500000004</v>
      </c>
      <c r="AS28">
        <v>33.299999999999997</v>
      </c>
      <c r="AT28" s="102">
        <f t="shared" si="9"/>
        <v>27875.432010666675</v>
      </c>
      <c r="AU28" s="29">
        <f t="shared" si="10"/>
        <v>0.57610928878386858</v>
      </c>
      <c r="AV28" s="102">
        <f t="shared" si="11"/>
        <v>72068.06241066668</v>
      </c>
    </row>
    <row r="29" spans="1:48" x14ac:dyDescent="0.2">
      <c r="A29" s="4" t="s">
        <v>244</v>
      </c>
      <c r="B29" s="4" t="s">
        <v>265</v>
      </c>
      <c r="C29" s="7"/>
      <c r="D29" s="63"/>
      <c r="E29" s="57"/>
      <c r="F29" s="63"/>
      <c r="G29" s="95"/>
      <c r="H29" s="95"/>
      <c r="I29" s="94"/>
      <c r="J29" s="94"/>
      <c r="K29" s="94"/>
      <c r="L29" s="94"/>
      <c r="P29" s="7"/>
      <c r="Q29" s="7">
        <f t="shared" si="21"/>
        <v>76261.098677333342</v>
      </c>
      <c r="R29" s="7"/>
      <c r="T29" s="7"/>
      <c r="U29" s="7"/>
      <c r="V29" s="57">
        <f>G29+H29+I29+J29+K29+L29+M29+O29+P29+Q29+S29+T29+U29</f>
        <v>76261.098677333342</v>
      </c>
      <c r="W29" s="68">
        <f t="shared" si="6"/>
        <v>76261.098677333342</v>
      </c>
      <c r="X29" s="45">
        <f>W29-C29</f>
        <v>76261.098677333342</v>
      </c>
      <c r="Y29" s="7"/>
      <c r="Z29" s="4" t="s">
        <v>215</v>
      </c>
      <c r="AA29" s="73">
        <f t="shared" si="20"/>
        <v>3.8855276655431537E-2</v>
      </c>
      <c r="AB29" s="100">
        <v>49623</v>
      </c>
      <c r="AC29" s="100">
        <v>47767</v>
      </c>
      <c r="AD29" s="15">
        <f>(AC29/12*8)+(AB29/12*4)</f>
        <v>48385.666666666672</v>
      </c>
      <c r="AE29" s="15"/>
      <c r="AF29" s="15">
        <v>40956</v>
      </c>
      <c r="AG29" s="15">
        <f>AF29/12*5</f>
        <v>17065</v>
      </c>
      <c r="AH29" s="15"/>
      <c r="AI29" s="15" t="s">
        <v>274</v>
      </c>
      <c r="AJ29" s="102">
        <v>930.76</v>
      </c>
      <c r="AK29" s="81">
        <v>19.2</v>
      </c>
      <c r="AL29">
        <v>43.86</v>
      </c>
      <c r="AM29" s="81">
        <f t="shared" si="16"/>
        <v>38.611762000000006</v>
      </c>
      <c r="AN29" s="74">
        <f t="shared" si="17"/>
        <v>941.1012166666668</v>
      </c>
      <c r="AO29" s="113">
        <f t="shared" si="7"/>
        <v>23682.395744000005</v>
      </c>
      <c r="AP29" s="110">
        <f t="shared" si="8"/>
        <v>0.48945064469505439</v>
      </c>
      <c r="AQ29" s="114">
        <f t="shared" si="18"/>
        <v>7.66106388888889</v>
      </c>
      <c r="AR29" s="81">
        <f t="shared" si="19"/>
        <v>308.45862500000004</v>
      </c>
      <c r="AS29">
        <v>33.299999999999997</v>
      </c>
      <c r="AT29" s="102">
        <f t="shared" si="9"/>
        <v>27875.432010666675</v>
      </c>
      <c r="AU29" s="29">
        <f t="shared" si="10"/>
        <v>0.57610928878386858</v>
      </c>
      <c r="AV29" s="102">
        <f t="shared" si="11"/>
        <v>72068.06241066668</v>
      </c>
    </row>
    <row r="30" spans="1:48" x14ac:dyDescent="0.2">
      <c r="A30" s="4"/>
      <c r="B30" s="4"/>
      <c r="C30" s="7"/>
      <c r="D30" s="93"/>
      <c r="E30" s="128"/>
      <c r="F30" s="95"/>
      <c r="G30" s="95"/>
      <c r="H30" s="95"/>
      <c r="I30" s="94"/>
      <c r="J30" s="94"/>
      <c r="K30" s="94"/>
      <c r="L30" s="94"/>
      <c r="P30" s="7"/>
      <c r="Q30" s="7"/>
      <c r="R30" s="7"/>
      <c r="T30" s="7"/>
      <c r="U30" s="7"/>
      <c r="V30" s="57"/>
      <c r="W30" s="68"/>
      <c r="X30" s="45"/>
      <c r="Y30" s="7"/>
      <c r="Z30" s="4"/>
      <c r="AA30" s="73"/>
      <c r="AB30" s="15"/>
      <c r="AC30" s="15"/>
      <c r="AD30" s="15"/>
      <c r="AE30" s="15"/>
      <c r="AF30" s="15"/>
      <c r="AG30" s="15"/>
      <c r="AH30" s="15"/>
      <c r="AI30" s="15"/>
      <c r="AJ30" s="102"/>
      <c r="AK30" s="81"/>
      <c r="AM30" s="81"/>
      <c r="AN30" s="74"/>
      <c r="AO30" s="113"/>
      <c r="AP30" s="110"/>
      <c r="AQ30" s="114"/>
      <c r="AR30" s="81"/>
      <c r="AT30" s="102"/>
      <c r="AU30" s="29"/>
      <c r="AV30" s="102"/>
    </row>
    <row r="31" spans="1:48" x14ac:dyDescent="0.2">
      <c r="A31" s="4" t="s">
        <v>307</v>
      </c>
      <c r="B31" s="4" t="s">
        <v>266</v>
      </c>
      <c r="C31" s="7"/>
      <c r="D31" s="45">
        <f>(AD31+AT31)*0.15</f>
        <v>16341.573556800002</v>
      </c>
      <c r="E31" s="57">
        <f>(AD31+AT31)*0.85</f>
        <v>92602.250155200003</v>
      </c>
      <c r="F31" s="57">
        <f t="shared" ref="F31:F38" si="22">D31+E31</f>
        <v>108943.82371200001</v>
      </c>
      <c r="G31" s="45"/>
      <c r="H31" s="126"/>
      <c r="I31" s="96"/>
      <c r="J31" s="7"/>
      <c r="K31" s="7"/>
      <c r="L31" s="7"/>
      <c r="N31" s="7"/>
      <c r="O31" s="7"/>
      <c r="P31" s="7"/>
      <c r="Q31" s="7"/>
      <c r="R31" s="7"/>
      <c r="S31" s="7"/>
      <c r="T31" s="7"/>
      <c r="U31" s="7"/>
      <c r="V31" s="57">
        <f>G31+H31+I31+J31+K31+L31+O31+P31+Q31+S31+T31+U31</f>
        <v>0</v>
      </c>
      <c r="W31" s="68">
        <f t="shared" si="6"/>
        <v>108943.82371200001</v>
      </c>
      <c r="X31" s="45">
        <f t="shared" ref="X31:X38" si="23">W31-C31</f>
        <v>108943.82371200001</v>
      </c>
      <c r="Y31" s="7"/>
      <c r="Z31" s="4" t="s">
        <v>134</v>
      </c>
      <c r="AA31" s="73">
        <f>AB31/AC31-1</f>
        <v>1.5089986155975899E-2</v>
      </c>
      <c r="AB31" s="135">
        <f>63591+2400</f>
        <v>65991</v>
      </c>
      <c r="AC31" s="135">
        <f>62610+2400</f>
        <v>65010</v>
      </c>
      <c r="AD31" s="15">
        <f>(AC31/12*8)+(AB31/12*4)</f>
        <v>65337</v>
      </c>
      <c r="AE31" s="15">
        <v>55332</v>
      </c>
      <c r="AF31" s="15">
        <v>53760</v>
      </c>
      <c r="AG31" s="15">
        <f>(AF31/12*8)+(AE31/12*4)</f>
        <v>54284</v>
      </c>
      <c r="AH31" s="15"/>
      <c r="AI31" s="15" t="s">
        <v>278</v>
      </c>
      <c r="AJ31" s="102">
        <v>1679.16</v>
      </c>
      <c r="AK31" s="81">
        <v>19.2</v>
      </c>
      <c r="AL31">
        <v>152.43</v>
      </c>
      <c r="AM31" s="81">
        <f>AD31*0.009576/12</f>
        <v>52.138925999999998</v>
      </c>
      <c r="AN31" s="74">
        <f>AD31*0.2334/12</f>
        <v>1270.80465</v>
      </c>
      <c r="AO31" s="113">
        <f t="shared" si="7"/>
        <v>38084.802912000006</v>
      </c>
      <c r="AP31" s="110">
        <f t="shared" si="8"/>
        <v>0.58289794315625154</v>
      </c>
      <c r="AQ31" s="114">
        <f>(AD31*0.19/100)/12</f>
        <v>10.345025000000001</v>
      </c>
      <c r="AR31" s="81">
        <f>AD31*0.0765/12</f>
        <v>416.52337499999999</v>
      </c>
      <c r="AS31">
        <v>33.299999999999997</v>
      </c>
      <c r="AT31" s="102">
        <f t="shared" si="9"/>
        <v>43606.823712000012</v>
      </c>
      <c r="AU31" s="29">
        <f t="shared" si="10"/>
        <v>0.66741392644290387</v>
      </c>
      <c r="AV31" s="102">
        <f t="shared" si="11"/>
        <v>103421.80291200001</v>
      </c>
    </row>
    <row r="32" spans="1:48" x14ac:dyDescent="0.2">
      <c r="A32" s="4" t="s">
        <v>241</v>
      </c>
      <c r="B32" s="4" t="s">
        <v>267</v>
      </c>
      <c r="C32" s="7"/>
      <c r="D32" s="45">
        <f>(AD32+AT32)*0.5</f>
        <v>41501.379514666667</v>
      </c>
      <c r="E32" s="57">
        <f>(AD32+AT32)*0.5</f>
        <v>41501.379514666667</v>
      </c>
      <c r="F32" s="57">
        <f t="shared" si="22"/>
        <v>83002.759029333334</v>
      </c>
      <c r="G32" s="45"/>
      <c r="H32" s="126"/>
      <c r="I32" s="9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57">
        <f t="shared" ref="V32:V38" si="24">G32+H32+I32+J32+K32+L32+M32+O32+P32+Q32+S32+T32+U32</f>
        <v>0</v>
      </c>
      <c r="W32" s="68">
        <f t="shared" si="6"/>
        <v>83002.759029333334</v>
      </c>
      <c r="X32" s="45">
        <f t="shared" si="23"/>
        <v>83002.759029333334</v>
      </c>
      <c r="Y32" s="7"/>
      <c r="Z32" s="4" t="s">
        <v>138</v>
      </c>
      <c r="AA32" s="73">
        <f>AB32/AC32-1</f>
        <v>3.2616357713044719E-2</v>
      </c>
      <c r="AB32" s="135">
        <v>54201</v>
      </c>
      <c r="AC32" s="135">
        <v>52489</v>
      </c>
      <c r="AD32" s="15">
        <f>(AC32/12*5)+(AB32/12*7)</f>
        <v>53487.666666666664</v>
      </c>
      <c r="AE32" s="15"/>
      <c r="AF32" s="15">
        <v>43200</v>
      </c>
      <c r="AG32" s="15">
        <f>(AF32/12*7)</f>
        <v>25200</v>
      </c>
      <c r="AH32" s="15"/>
      <c r="AI32" s="15" t="s">
        <v>282</v>
      </c>
      <c r="AJ32" s="102">
        <v>930.76</v>
      </c>
      <c r="AK32" s="81">
        <v>19.2</v>
      </c>
      <c r="AL32">
        <v>43.86</v>
      </c>
      <c r="AM32" s="81">
        <f>AD32*0.009576/12</f>
        <v>42.683157999999992</v>
      </c>
      <c r="AN32" s="74">
        <f>AD32*0.2334/12</f>
        <v>1040.3351166666666</v>
      </c>
      <c r="AO32" s="113">
        <f t="shared" si="7"/>
        <v>24922.059295999999</v>
      </c>
      <c r="AP32" s="110">
        <f t="shared" si="8"/>
        <v>0.4659402970653671</v>
      </c>
      <c r="AQ32" s="114">
        <f>(AD32*0.19/100)/12</f>
        <v>8.4688805555555557</v>
      </c>
      <c r="AR32" s="81">
        <f>AD32*0.0765/12</f>
        <v>340.98387499999995</v>
      </c>
      <c r="AS32">
        <v>33.299999999999997</v>
      </c>
      <c r="AT32" s="102">
        <f t="shared" si="9"/>
        <v>29515.09236266667</v>
      </c>
      <c r="AU32" s="29">
        <f t="shared" si="10"/>
        <v>0.5518111782030749</v>
      </c>
      <c r="AV32" s="102">
        <f t="shared" si="11"/>
        <v>78409.725962666664</v>
      </c>
    </row>
    <row r="33" spans="1:48" x14ac:dyDescent="0.2">
      <c r="A33" s="4" t="s">
        <v>308</v>
      </c>
      <c r="B33" s="4" t="s">
        <v>271</v>
      </c>
      <c r="C33" s="7"/>
      <c r="D33" s="45">
        <f t="shared" ref="D33:D35" si="25">(AD33+AT33)*0.15</f>
        <v>7083.5478647999998</v>
      </c>
      <c r="E33" s="57">
        <f t="shared" ref="E33:E35" si="26">(AD33+AT33)*0.85</f>
        <v>40140.104567200004</v>
      </c>
      <c r="F33" s="57">
        <f t="shared" si="22"/>
        <v>47223.652432000003</v>
      </c>
      <c r="G33" s="45"/>
      <c r="H33" s="126"/>
      <c r="I33" s="9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7">
        <f t="shared" si="24"/>
        <v>0</v>
      </c>
      <c r="W33" s="68">
        <f t="shared" si="6"/>
        <v>47223.652432000003</v>
      </c>
      <c r="X33" s="45">
        <f t="shared" si="23"/>
        <v>47223.652432000003</v>
      </c>
      <c r="Y33" s="7"/>
      <c r="Z33" s="4" t="s">
        <v>138</v>
      </c>
      <c r="AA33" s="73"/>
      <c r="AB33" s="100"/>
      <c r="AC33" s="100">
        <v>52489</v>
      </c>
      <c r="AD33" s="15">
        <f>AC33/2</f>
        <v>26244.5</v>
      </c>
      <c r="AE33" s="15"/>
      <c r="AF33" s="15">
        <v>43200</v>
      </c>
      <c r="AG33" s="15">
        <f>(AF33/12*7)</f>
        <v>25200</v>
      </c>
      <c r="AH33" s="15"/>
      <c r="AI33" s="15" t="s">
        <v>277</v>
      </c>
      <c r="AJ33" s="102">
        <v>949.04</v>
      </c>
      <c r="AK33" s="81">
        <v>19.2</v>
      </c>
      <c r="AL33">
        <v>43.86</v>
      </c>
      <c r="AM33" s="81">
        <f>AD33*0.009576/12</f>
        <v>20.943110999999998</v>
      </c>
      <c r="AN33" s="74">
        <f>AD33*0.2334/12</f>
        <v>510.45552500000002</v>
      </c>
      <c r="AO33" s="113">
        <f t="shared" si="7"/>
        <v>18521.983631999999</v>
      </c>
      <c r="AP33" s="110">
        <f t="shared" si="8"/>
        <v>0.70574724730895999</v>
      </c>
      <c r="AQ33" s="114">
        <f>(AD33*0.19/100)/12</f>
        <v>4.1553791666666671</v>
      </c>
      <c r="AR33" s="81">
        <f>AD33*0.0765/12</f>
        <v>167.30868749999999</v>
      </c>
      <c r="AS33">
        <v>33.299999999999997</v>
      </c>
      <c r="AT33" s="102">
        <f t="shared" si="9"/>
        <v>20979.152431999999</v>
      </c>
      <c r="AU33" s="29">
        <f t="shared" si="10"/>
        <v>0.79937329467126439</v>
      </c>
      <c r="AV33" s="102">
        <f t="shared" si="11"/>
        <v>44766.483632000003</v>
      </c>
    </row>
    <row r="34" spans="1:48" x14ac:dyDescent="0.2">
      <c r="A34" s="101" t="s">
        <v>309</v>
      </c>
      <c r="B34" s="101" t="s">
        <v>272</v>
      </c>
      <c r="C34" s="7"/>
      <c r="D34" s="45">
        <f t="shared" si="25"/>
        <v>14961.5585424</v>
      </c>
      <c r="E34" s="57">
        <f t="shared" si="26"/>
        <v>84782.165073600001</v>
      </c>
      <c r="F34" s="57">
        <f t="shared" si="22"/>
        <v>99743.723616000003</v>
      </c>
      <c r="G34" s="45"/>
      <c r="H34" s="126"/>
      <c r="I34" s="96"/>
      <c r="J34" s="7"/>
      <c r="K34" s="7"/>
      <c r="L34" s="7"/>
      <c r="T34" s="7"/>
      <c r="U34" s="7"/>
      <c r="V34" s="57">
        <f t="shared" si="24"/>
        <v>0</v>
      </c>
      <c r="W34" s="68">
        <f t="shared" si="6"/>
        <v>99743.723616000003</v>
      </c>
      <c r="X34" s="45">
        <f t="shared" si="23"/>
        <v>99743.723616000003</v>
      </c>
      <c r="Y34" s="7"/>
      <c r="Z34" s="4" t="s">
        <v>215</v>
      </c>
      <c r="AA34" s="73"/>
      <c r="AB34" s="135"/>
      <c r="AC34" s="135">
        <f>63591+2400</f>
        <v>65991</v>
      </c>
      <c r="AD34" s="15">
        <f>AC34</f>
        <v>65991</v>
      </c>
      <c r="AE34" s="15"/>
      <c r="AF34" s="15">
        <v>48456</v>
      </c>
      <c r="AG34" s="15">
        <f>AF34/12*4</f>
        <v>16152</v>
      </c>
      <c r="AH34" s="15"/>
      <c r="AI34" s="15" t="s">
        <v>277</v>
      </c>
      <c r="AJ34" s="102">
        <v>949.04</v>
      </c>
      <c r="AK34" s="81">
        <v>19.2</v>
      </c>
      <c r="AL34">
        <v>43.86</v>
      </c>
      <c r="AM34" s="81">
        <f>AD34*0.009576/12</f>
        <v>52.660817999999999</v>
      </c>
      <c r="AN34" s="74">
        <f>AD34*0.2334/12</f>
        <v>1283.52495</v>
      </c>
      <c r="AO34" s="113">
        <f t="shared" si="7"/>
        <v>28179.429215999997</v>
      </c>
      <c r="AP34" s="110">
        <f t="shared" si="8"/>
        <v>0.42701927862890388</v>
      </c>
      <c r="AQ34" s="114">
        <f>(AD34*0.19/100)/12</f>
        <v>10.448575</v>
      </c>
      <c r="AR34" s="81">
        <f>AD34*0.0765/12</f>
        <v>420.69262499999996</v>
      </c>
      <c r="AS34">
        <v>33.299999999999997</v>
      </c>
      <c r="AT34" s="102">
        <f t="shared" si="9"/>
        <v>33752.723616000003</v>
      </c>
      <c r="AU34" s="29">
        <f t="shared" si="10"/>
        <v>0.51147464981588397</v>
      </c>
      <c r="AV34" s="102">
        <f t="shared" si="11"/>
        <v>94170.42921599999</v>
      </c>
    </row>
    <row r="35" spans="1:48" x14ac:dyDescent="0.2">
      <c r="A35" s="101" t="s">
        <v>310</v>
      </c>
      <c r="B35" s="101"/>
      <c r="C35" s="7"/>
      <c r="D35" s="45">
        <f t="shared" si="25"/>
        <v>0</v>
      </c>
      <c r="E35" s="57">
        <f t="shared" si="26"/>
        <v>0</v>
      </c>
      <c r="F35" s="57">
        <f t="shared" si="22"/>
        <v>0</v>
      </c>
      <c r="G35" s="45"/>
      <c r="H35" s="126"/>
      <c r="I35" s="96"/>
      <c r="J35" s="7"/>
      <c r="K35" s="7"/>
      <c r="L35" s="7"/>
      <c r="T35" s="7"/>
      <c r="U35" s="7"/>
      <c r="V35" s="57">
        <f t="shared" si="24"/>
        <v>0</v>
      </c>
      <c r="W35" s="68"/>
      <c r="X35" s="45">
        <f t="shared" si="23"/>
        <v>0</v>
      </c>
      <c r="Y35" s="7"/>
      <c r="Z35" s="4" t="s">
        <v>134</v>
      </c>
      <c r="AA35" s="73"/>
      <c r="AB35" s="15"/>
      <c r="AC35" s="15"/>
      <c r="AD35" s="15"/>
      <c r="AE35" s="15">
        <f>45732+1200</f>
        <v>46932</v>
      </c>
      <c r="AF35" s="15">
        <v>45460</v>
      </c>
      <c r="AG35" s="15">
        <f>AF35/12*3+AE35/12*3</f>
        <v>23098</v>
      </c>
      <c r="AH35" s="15"/>
      <c r="AI35" s="15"/>
      <c r="AJ35" s="102"/>
      <c r="AK35" s="81"/>
      <c r="AM35" s="81"/>
      <c r="AN35" s="74"/>
      <c r="AO35" s="113"/>
      <c r="AP35" s="110"/>
      <c r="AQ35" s="114"/>
      <c r="AR35" s="81"/>
      <c r="AT35" s="102"/>
      <c r="AU35" s="29"/>
      <c r="AV35" s="102"/>
    </row>
    <row r="36" spans="1:48" x14ac:dyDescent="0.2">
      <c r="A36" s="4" t="s">
        <v>238</v>
      </c>
      <c r="B36" s="4" t="s">
        <v>270</v>
      </c>
      <c r="C36" s="7"/>
      <c r="D36" s="45">
        <f>(AD36+AT36)*0.4</f>
        <v>29042.197494400003</v>
      </c>
      <c r="E36" s="57">
        <f>(AD36+AT36)*0.6</f>
        <v>43563.296241600001</v>
      </c>
      <c r="F36" s="57">
        <f t="shared" si="22"/>
        <v>72605.493736000004</v>
      </c>
      <c r="G36" s="45"/>
      <c r="H36" s="126"/>
      <c r="I36" s="96"/>
      <c r="J36" s="7"/>
      <c r="K36" s="7"/>
      <c r="L36" s="7"/>
      <c r="T36" s="7"/>
      <c r="U36" s="7"/>
      <c r="V36" s="57">
        <f t="shared" si="24"/>
        <v>0</v>
      </c>
      <c r="W36" s="68">
        <f t="shared" si="6"/>
        <v>72605.493736000004</v>
      </c>
      <c r="X36" s="45">
        <f t="shared" si="23"/>
        <v>72605.493736000004</v>
      </c>
      <c r="Y36" s="7"/>
      <c r="Z36" s="4" t="s">
        <v>135</v>
      </c>
      <c r="AA36" s="75">
        <f>AB36/AC36-1</f>
        <v>3.2110180850443815E-2</v>
      </c>
      <c r="AB36" s="100">
        <v>53132</v>
      </c>
      <c r="AC36" s="100">
        <v>51479</v>
      </c>
      <c r="AD36" s="15">
        <f>(AC36/12*9)+(AB36/12*3)</f>
        <v>51892.25</v>
      </c>
      <c r="AE36" s="15">
        <v>40941</v>
      </c>
      <c r="AF36" s="74">
        <v>39412</v>
      </c>
      <c r="AG36" s="15">
        <f>AF36/12*9+AE36/12*3</f>
        <v>39794.25</v>
      </c>
      <c r="AH36" s="15"/>
      <c r="AI36" s="15" t="s">
        <v>276</v>
      </c>
      <c r="AJ36" s="102">
        <v>240</v>
      </c>
      <c r="AK36" s="81">
        <v>19.2</v>
      </c>
      <c r="AL36">
        <v>43.86</v>
      </c>
      <c r="AM36" s="81">
        <f>AD36*0.009576/12</f>
        <v>41.410015499999993</v>
      </c>
      <c r="AN36" s="74">
        <f>AD36*0.2334/12</f>
        <v>1009.3042624999999</v>
      </c>
      <c r="AO36" s="113">
        <f t="shared" si="7"/>
        <v>16245.291335999998</v>
      </c>
      <c r="AP36" s="110">
        <f t="shared" si="8"/>
        <v>0.31305814136022236</v>
      </c>
      <c r="AQ36" s="114">
        <f>(AD36*0.19/100)/12</f>
        <v>8.2162729166666661</v>
      </c>
      <c r="AR36" s="81">
        <f>AD36*0.0765/12</f>
        <v>330.81309375000001</v>
      </c>
      <c r="AS36">
        <v>33.299999999999997</v>
      </c>
      <c r="AT36" s="102">
        <f t="shared" si="9"/>
        <v>20713.243735999997</v>
      </c>
      <c r="AU36" s="29">
        <f t="shared" si="10"/>
        <v>0.39915871321825508</v>
      </c>
      <c r="AV36" s="102">
        <f t="shared" si="11"/>
        <v>68137.541335999995</v>
      </c>
    </row>
    <row r="37" spans="1:48" ht="15" x14ac:dyDescent="0.25">
      <c r="A37" t="s">
        <v>242</v>
      </c>
      <c r="B37" t="s">
        <v>268</v>
      </c>
      <c r="C37" s="7"/>
      <c r="D37" s="45">
        <f>(AD37+AT37)*0</f>
        <v>0</v>
      </c>
      <c r="E37" s="57">
        <f>(AD37+AT37)</f>
        <v>26065.52</v>
      </c>
      <c r="F37" s="57">
        <f t="shared" si="22"/>
        <v>26065.52</v>
      </c>
      <c r="G37" s="45"/>
      <c r="H37" s="126"/>
      <c r="I37" s="96"/>
      <c r="J37" s="7"/>
      <c r="K37" s="7"/>
      <c r="L37" s="7"/>
      <c r="M37" s="7"/>
      <c r="N37" s="7"/>
      <c r="O37" s="7"/>
      <c r="P37" s="123"/>
      <c r="Q37" s="7"/>
      <c r="R37" s="7"/>
      <c r="S37" s="7"/>
      <c r="T37" s="7"/>
      <c r="U37" s="7"/>
      <c r="V37" s="57">
        <f t="shared" si="24"/>
        <v>0</v>
      </c>
      <c r="W37" s="68">
        <f t="shared" si="6"/>
        <v>26065.52</v>
      </c>
      <c r="X37" s="45">
        <f t="shared" si="23"/>
        <v>26065.52</v>
      </c>
      <c r="Y37" s="7"/>
      <c r="Z37" s="4" t="s">
        <v>195</v>
      </c>
      <c r="AA37" s="73">
        <f>22.44/21.44-1</f>
        <v>4.664179104477606E-2</v>
      </c>
      <c r="AB37" s="15">
        <f>(22.44+0.56)*20*46</f>
        <v>21160</v>
      </c>
      <c r="AC37" s="15">
        <f>(21.44+0.56)*20*6</f>
        <v>2640</v>
      </c>
      <c r="AD37" s="15">
        <f>AB37+AC37</f>
        <v>23800</v>
      </c>
      <c r="AE37" s="74">
        <v>36356</v>
      </c>
      <c r="AF37" s="74">
        <v>36356</v>
      </c>
      <c r="AG37" s="15">
        <f>(AF37/12*10)+(8.66*17.5*20)</f>
        <v>33327.666666666664</v>
      </c>
      <c r="AH37" s="15"/>
      <c r="AI37" s="15" t="s">
        <v>283</v>
      </c>
      <c r="AJ37" s="102"/>
      <c r="AK37" s="81"/>
      <c r="AM37" s="81"/>
      <c r="AN37" s="74"/>
      <c r="AO37" s="113">
        <f t="shared" si="7"/>
        <v>0</v>
      </c>
      <c r="AP37" s="110">
        <f t="shared" si="8"/>
        <v>0</v>
      </c>
      <c r="AQ37" s="114">
        <f>(AD37*0.19/100)/12</f>
        <v>3.7683333333333331</v>
      </c>
      <c r="AR37" s="81">
        <f>AD37*0.0765/12</f>
        <v>151.72499999999999</v>
      </c>
      <c r="AS37">
        <v>33.299999999999997</v>
      </c>
      <c r="AT37" s="102">
        <f t="shared" si="9"/>
        <v>2265.5200000000004</v>
      </c>
      <c r="AU37" s="29">
        <f t="shared" si="10"/>
        <v>9.5189915966386568E-2</v>
      </c>
      <c r="AV37" s="102">
        <f t="shared" si="11"/>
        <v>23800</v>
      </c>
    </row>
    <row r="38" spans="1:48" x14ac:dyDescent="0.2">
      <c r="A38" s="4" t="s">
        <v>77</v>
      </c>
      <c r="B38" s="4" t="s">
        <v>269</v>
      </c>
      <c r="C38" s="7"/>
      <c r="D38" s="45">
        <f>(AD38+AT38)*0</f>
        <v>0</v>
      </c>
      <c r="E38" s="57">
        <f>(AD38+AT38)</f>
        <v>22959.727999999999</v>
      </c>
      <c r="F38" s="45">
        <f t="shared" si="22"/>
        <v>22959.727999999999</v>
      </c>
      <c r="G38" s="45"/>
      <c r="H38" s="126"/>
      <c r="I38" s="9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57">
        <f t="shared" si="24"/>
        <v>0</v>
      </c>
      <c r="W38" s="68">
        <f t="shared" si="6"/>
        <v>22959.727999999999</v>
      </c>
      <c r="X38" s="45">
        <f t="shared" si="23"/>
        <v>22959.727999999999</v>
      </c>
      <c r="Y38" s="7"/>
      <c r="Z38" s="4" t="s">
        <v>128</v>
      </c>
      <c r="AA38" s="29">
        <f>20/19-1</f>
        <v>5.2631578947368363E-2</v>
      </c>
      <c r="AB38" s="15">
        <f>(20+1)*20*6</f>
        <v>2520</v>
      </c>
      <c r="AC38" s="15">
        <f>(19+1)*20*46</f>
        <v>18400</v>
      </c>
      <c r="AD38" s="15">
        <f>AB38+AC38</f>
        <v>20920</v>
      </c>
      <c r="AE38" s="42"/>
      <c r="AF38" s="42"/>
      <c r="AI38" s="15" t="s">
        <v>283</v>
      </c>
      <c r="AJ38" s="102"/>
      <c r="AK38" s="81"/>
      <c r="AM38" s="81"/>
      <c r="AN38" s="74"/>
      <c r="AO38" s="113">
        <f t="shared" si="7"/>
        <v>0</v>
      </c>
      <c r="AP38" s="110">
        <f t="shared" si="8"/>
        <v>0</v>
      </c>
      <c r="AQ38" s="114">
        <f>(AD38*0.19/100)/12</f>
        <v>3.3123333333333336</v>
      </c>
      <c r="AR38" s="81">
        <f>AD38*0.0765/12</f>
        <v>133.36499999999998</v>
      </c>
      <c r="AS38">
        <v>33.299999999999997</v>
      </c>
      <c r="AT38" s="102">
        <f t="shared" si="9"/>
        <v>2039.7279999999998</v>
      </c>
      <c r="AU38" s="29">
        <f t="shared" si="10"/>
        <v>9.7501338432122359E-2</v>
      </c>
      <c r="AV38" s="102">
        <f t="shared" si="11"/>
        <v>20920</v>
      </c>
    </row>
    <row r="39" spans="1:48" x14ac:dyDescent="0.2">
      <c r="A39" s="4"/>
      <c r="B39" s="4"/>
      <c r="C39" s="7"/>
      <c r="D39" s="45"/>
      <c r="E39" s="57"/>
      <c r="F39" s="45"/>
      <c r="G39" s="45"/>
      <c r="H39" s="4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5"/>
      <c r="W39" s="68"/>
      <c r="X39" s="45"/>
      <c r="Y39" s="7"/>
      <c r="Z39" s="4"/>
      <c r="AA39" s="29"/>
      <c r="AB39" s="29"/>
      <c r="AC39" s="29"/>
      <c r="AD39" s="15"/>
      <c r="AE39" s="42"/>
      <c r="AF39" s="42"/>
      <c r="AO39" s="74"/>
      <c r="AP39" s="138"/>
      <c r="AT39" s="15"/>
      <c r="AU39" s="139"/>
    </row>
    <row r="40" spans="1:48" hidden="1" x14ac:dyDescent="0.2">
      <c r="A40" s="11"/>
      <c r="B40" s="1"/>
      <c r="C40" s="65">
        <v>963187.63</v>
      </c>
      <c r="D40" s="45">
        <f t="shared" ref="D40:W40" si="27">SUM(D9:D38)</f>
        <v>108930.25697306666</v>
      </c>
      <c r="E40" s="57">
        <f t="shared" si="27"/>
        <v>351614.44355226669</v>
      </c>
      <c r="F40" s="45">
        <f t="shared" si="27"/>
        <v>460544.70052533341</v>
      </c>
      <c r="G40" s="45">
        <f t="shared" si="27"/>
        <v>0</v>
      </c>
      <c r="H40" s="45">
        <f t="shared" si="27"/>
        <v>66684.829908089989</v>
      </c>
      <c r="I40" s="7">
        <f t="shared" si="27"/>
        <v>137232.77516811897</v>
      </c>
      <c r="J40" s="7">
        <f t="shared" si="27"/>
        <v>69667.335743466669</v>
      </c>
      <c r="K40" s="7">
        <f t="shared" si="27"/>
        <v>74517.798891600018</v>
      </c>
      <c r="L40" s="7">
        <f t="shared" si="27"/>
        <v>97448.094812116658</v>
      </c>
      <c r="M40" s="7">
        <f t="shared" si="27"/>
        <v>59459.49509987999</v>
      </c>
      <c r="N40" s="7">
        <f t="shared" si="27"/>
        <v>91667.033045333344</v>
      </c>
      <c r="O40" s="7">
        <f t="shared" si="27"/>
        <v>221157.46260504</v>
      </c>
      <c r="P40" s="7">
        <f t="shared" si="27"/>
        <v>210197.63793353335</v>
      </c>
      <c r="Q40" s="7">
        <f t="shared" si="27"/>
        <v>586432.33478123997</v>
      </c>
      <c r="R40" s="7">
        <f t="shared" si="27"/>
        <v>48935.869092859997</v>
      </c>
      <c r="S40" s="7">
        <f t="shared" si="27"/>
        <v>43356.170312399998</v>
      </c>
      <c r="T40" s="7">
        <f t="shared" si="27"/>
        <v>220412.74822271999</v>
      </c>
      <c r="U40" s="7">
        <f t="shared" si="27"/>
        <v>0</v>
      </c>
      <c r="V40" s="68">
        <f t="shared" si="27"/>
        <v>1927169.5856163991</v>
      </c>
      <c r="W40" s="68">
        <f t="shared" si="27"/>
        <v>2387714.2861417318</v>
      </c>
      <c r="X40" s="102">
        <f>W40-C40</f>
        <v>1424526.6561417319</v>
      </c>
      <c r="Y40" s="15"/>
      <c r="Z40" s="15">
        <f>SUM(Z9:Z38)</f>
        <v>0</v>
      </c>
      <c r="AA40" s="29">
        <f>W40/C40-1</f>
        <v>1.4789710870162773</v>
      </c>
      <c r="AB40" s="15"/>
      <c r="AC40" s="15"/>
      <c r="AD40" s="15">
        <f t="shared" ref="AD40:AD51" si="28">SUM(AD10:AD39)</f>
        <v>1458855.3583333336</v>
      </c>
      <c r="AE40">
        <f>SUM(AE9:AE38)</f>
        <v>659228.21</v>
      </c>
      <c r="AF40" s="15">
        <f>SUM(AF9:AF38)</f>
        <v>1261164</v>
      </c>
      <c r="AG40" s="15">
        <f>SUM(AG9:AG38)</f>
        <v>887261.2766666665</v>
      </c>
      <c r="AH40" s="15"/>
      <c r="AI40" s="15"/>
      <c r="AJ40" s="102">
        <f>SUM(AJ9:AJ38)*12</f>
        <v>294441.35999999993</v>
      </c>
      <c r="AK40" s="15">
        <f>SUM(AK9:AK38)*12</f>
        <v>5759.9999999999982</v>
      </c>
      <c r="AL40" s="15">
        <f>SUM(AL9:AL38)*12</f>
        <v>18257.87999999999</v>
      </c>
      <c r="AM40" s="15">
        <f>SUM(AM9:AM38)*12</f>
        <v>14568.189755985604</v>
      </c>
      <c r="AN40" s="74">
        <f>SUM(AN9:AN38)*12</f>
        <v>355076.80545603996</v>
      </c>
      <c r="AO40" s="113">
        <f>(AJ40+AK40+AL40+AM40+AN40)</f>
        <v>688104.23521202547</v>
      </c>
      <c r="AP40" s="110">
        <f t="shared" si="8"/>
        <v>0.47167406369754761</v>
      </c>
      <c r="AQ40" s="113">
        <f>SUM(AQ9:AQ38)*12</f>
        <v>2975.4818404733342</v>
      </c>
      <c r="AR40" s="74">
        <f>SUM(AR9:AR38)*12</f>
        <v>119802.29515590002</v>
      </c>
      <c r="AS40" s="74">
        <f>SUM(AS9:AS38)</f>
        <v>899.09999999999957</v>
      </c>
      <c r="AT40" s="102">
        <f>(AJ40+AK40+AL40+AM40+AN40+AQ40+AR40+AS40)</f>
        <v>811781.11220839887</v>
      </c>
      <c r="AU40" s="29">
        <f t="shared" si="10"/>
        <v>0.55645071841516669</v>
      </c>
      <c r="AV40" s="63"/>
    </row>
    <row r="41" spans="1:48" hidden="1" x14ac:dyDescent="0.2">
      <c r="A41" s="1"/>
      <c r="B41" s="1"/>
      <c r="C41" s="7"/>
      <c r="D41" s="45"/>
      <c r="E41" s="57"/>
      <c r="F41" s="57"/>
      <c r="G41" s="4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7"/>
      <c r="W41" s="68"/>
      <c r="X41" s="45"/>
      <c r="Y41" s="4"/>
      <c r="Z41" s="4"/>
      <c r="AA41" s="29"/>
      <c r="AB41" s="29"/>
      <c r="AC41" s="29"/>
      <c r="AD41" s="15">
        <f t="shared" si="28"/>
        <v>2860858.4666666668</v>
      </c>
      <c r="AO41" s="74"/>
    </row>
    <row r="42" spans="1:48" hidden="1" x14ac:dyDescent="0.2">
      <c r="A42" s="9" t="s">
        <v>17</v>
      </c>
      <c r="B42" s="9"/>
      <c r="C42" s="7"/>
      <c r="D42" s="45"/>
      <c r="E42" s="57"/>
      <c r="F42" s="57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7"/>
      <c r="W42" s="68"/>
      <c r="X42" s="45"/>
      <c r="Y42" s="4"/>
      <c r="Z42" s="4"/>
      <c r="AA42" s="29"/>
      <c r="AB42" s="29"/>
      <c r="AC42" s="29"/>
      <c r="AD42" s="15">
        <f t="shared" si="28"/>
        <v>5638134.3083333336</v>
      </c>
      <c r="AT42" s="15"/>
    </row>
    <row r="43" spans="1:48" hidden="1" x14ac:dyDescent="0.2">
      <c r="A43" s="4" t="s">
        <v>35</v>
      </c>
      <c r="B43" s="4"/>
      <c r="C43">
        <v>169636.06</v>
      </c>
      <c r="D43" s="45"/>
      <c r="E43" s="57"/>
      <c r="F43" s="57"/>
      <c r="G43" s="4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T43" s="7"/>
      <c r="U43" s="7"/>
      <c r="V43" s="57">
        <f t="shared" ref="V43:V50" si="29">G43+H43+I43+J43+K43+L43+M43+O43+P43+Q43+S43+T43+U43</f>
        <v>0</v>
      </c>
      <c r="W43" s="68"/>
      <c r="X43" s="45">
        <f t="shared" ref="X43:X50" si="30">W43-C43</f>
        <v>-169636.06</v>
      </c>
      <c r="Y43" s="4"/>
      <c r="Z43" s="4" t="s">
        <v>142</v>
      </c>
      <c r="AA43" s="29"/>
      <c r="AB43" s="29"/>
      <c r="AC43" s="29"/>
      <c r="AD43" s="15">
        <f t="shared" si="28"/>
        <v>11214797.950000001</v>
      </c>
      <c r="AE43" s="107"/>
      <c r="AT43" s="15"/>
    </row>
    <row r="44" spans="1:48" hidden="1" x14ac:dyDescent="0.2">
      <c r="A44" s="4" t="s">
        <v>34</v>
      </c>
      <c r="B44" s="4"/>
      <c r="C44" s="7">
        <v>12352.05</v>
      </c>
      <c r="D44" s="45"/>
      <c r="E44" s="57"/>
      <c r="F44" s="57"/>
      <c r="G44" s="4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7">
        <f t="shared" si="29"/>
        <v>0</v>
      </c>
      <c r="W44" s="68"/>
      <c r="X44" s="45">
        <f t="shared" si="30"/>
        <v>-12352.05</v>
      </c>
      <c r="Y44" s="4"/>
      <c r="Z44" s="4" t="s">
        <v>143</v>
      </c>
      <c r="AA44" s="29"/>
      <c r="AB44" s="29"/>
      <c r="AC44" s="29"/>
      <c r="AD44" s="15">
        <f t="shared" si="28"/>
        <v>22377428.149999999</v>
      </c>
      <c r="AE44" s="108"/>
    </row>
    <row r="45" spans="1:48" hidden="1" x14ac:dyDescent="0.2">
      <c r="A45" s="4" t="s">
        <v>36</v>
      </c>
      <c r="B45" s="4"/>
      <c r="C45" s="7">
        <v>4108.7999999999993</v>
      </c>
      <c r="D45" s="45"/>
      <c r="E45" s="57"/>
      <c r="F45" s="57"/>
      <c r="G45" s="4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7">
        <f t="shared" si="29"/>
        <v>0</v>
      </c>
      <c r="W45" s="68"/>
      <c r="X45" s="45">
        <f t="shared" si="30"/>
        <v>-4108.7999999999993</v>
      </c>
      <c r="Y45" s="4"/>
      <c r="Z45" s="4" t="s">
        <v>143</v>
      </c>
      <c r="AA45" s="29"/>
      <c r="AB45" s="29"/>
      <c r="AC45" s="29"/>
      <c r="AD45" s="15">
        <f t="shared" si="28"/>
        <v>44693945.633333333</v>
      </c>
      <c r="AE45" s="107"/>
    </row>
    <row r="46" spans="1:48" hidden="1" x14ac:dyDescent="0.2">
      <c r="A46" s="4" t="s">
        <v>37</v>
      </c>
      <c r="B46" s="4"/>
      <c r="C46" s="7">
        <v>9041.9065766749991</v>
      </c>
      <c r="D46" s="45"/>
      <c r="E46" s="57"/>
      <c r="F46" s="57"/>
      <c r="G46" s="4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7">
        <f t="shared" si="29"/>
        <v>0</v>
      </c>
      <c r="W46" s="68"/>
      <c r="X46" s="45">
        <f t="shared" si="30"/>
        <v>-9041.9065766749991</v>
      </c>
      <c r="Y46" s="4"/>
      <c r="Z46" s="4" t="s">
        <v>143</v>
      </c>
      <c r="AA46" s="29"/>
      <c r="AB46" s="29"/>
      <c r="AC46" s="29"/>
      <c r="AD46" s="15">
        <f t="shared" si="28"/>
        <v>89328012.599999994</v>
      </c>
    </row>
    <row r="47" spans="1:48" hidden="1" x14ac:dyDescent="0.2">
      <c r="A47" s="4" t="s">
        <v>0</v>
      </c>
      <c r="B47" s="4"/>
      <c r="C47" s="7">
        <v>1843.2804963402778</v>
      </c>
      <c r="D47" s="45"/>
      <c r="E47" s="57"/>
      <c r="F47" s="57"/>
      <c r="G47" s="45">
        <f t="shared" ref="G47" si="31">G40*0.19/100</f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7">
        <f t="shared" si="29"/>
        <v>0</v>
      </c>
      <c r="W47" s="68"/>
      <c r="X47" s="45">
        <f t="shared" si="30"/>
        <v>-1843.2804963402778</v>
      </c>
      <c r="Y47" s="4"/>
      <c r="Z47" s="4" t="s">
        <v>118</v>
      </c>
      <c r="AA47" s="29"/>
      <c r="AB47" s="29"/>
      <c r="AC47" s="29"/>
      <c r="AD47" s="15">
        <f t="shared" si="28"/>
        <v>178574019.44999999</v>
      </c>
    </row>
    <row r="48" spans="1:48" hidden="1" x14ac:dyDescent="0.2">
      <c r="A48" s="12" t="s">
        <v>21</v>
      </c>
      <c r="B48" s="12"/>
      <c r="C48" s="7">
        <v>232046.51534637297</v>
      </c>
      <c r="D48" s="45"/>
      <c r="E48" s="57"/>
      <c r="F48" s="57"/>
      <c r="G48" s="45">
        <f>26.79%*(G40)</f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57">
        <f t="shared" si="29"/>
        <v>0</v>
      </c>
      <c r="W48" s="68"/>
      <c r="X48" s="45">
        <f t="shared" si="30"/>
        <v>-232046.51534637297</v>
      </c>
      <c r="Y48" s="4"/>
      <c r="Z48" s="4" t="s">
        <v>219</v>
      </c>
      <c r="AA48" s="29"/>
      <c r="AB48" s="29"/>
      <c r="AC48" s="29"/>
      <c r="AD48" s="15">
        <f t="shared" si="28"/>
        <v>357097642.56666666</v>
      </c>
      <c r="AE48" s="109"/>
    </row>
    <row r="49" spans="1:48" hidden="1" x14ac:dyDescent="0.2">
      <c r="A49" s="4" t="s">
        <v>101</v>
      </c>
      <c r="B49" s="4"/>
      <c r="C49" s="7">
        <v>74262.19366843751</v>
      </c>
      <c r="D49" s="45"/>
      <c r="E49" s="57"/>
      <c r="F49" s="57"/>
      <c r="G49" s="45">
        <f t="shared" ref="G49" si="32">G40*7.65%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57">
        <f t="shared" si="29"/>
        <v>0</v>
      </c>
      <c r="W49" s="68"/>
      <c r="X49" s="45">
        <f t="shared" si="30"/>
        <v>-74262.19366843751</v>
      </c>
      <c r="Y49" s="4"/>
      <c r="Z49" s="4" t="s">
        <v>94</v>
      </c>
      <c r="AA49" s="29"/>
      <c r="AB49" s="29"/>
      <c r="AC49" s="29"/>
      <c r="AD49" s="15">
        <f t="shared" si="28"/>
        <v>714152301.39999998</v>
      </c>
    </row>
    <row r="50" spans="1:48" hidden="1" x14ac:dyDescent="0.2">
      <c r="A50" s="4" t="s">
        <v>1</v>
      </c>
      <c r="B50" s="4"/>
      <c r="C50" s="7">
        <v>956.76539000000002</v>
      </c>
      <c r="D50" s="45"/>
      <c r="E50" s="57"/>
      <c r="F50" s="57"/>
      <c r="G50" s="45">
        <f>G40*0.003</f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57">
        <f t="shared" si="29"/>
        <v>0</v>
      </c>
      <c r="W50" s="68"/>
      <c r="X50" s="45">
        <f t="shared" si="30"/>
        <v>-956.76539000000002</v>
      </c>
      <c r="Y50" s="4"/>
      <c r="Z50" s="4" t="s">
        <v>144</v>
      </c>
      <c r="AA50" s="29"/>
      <c r="AB50" s="29"/>
      <c r="AC50" s="29"/>
      <c r="AD50" s="15">
        <f t="shared" si="28"/>
        <v>1428256217.1333332</v>
      </c>
    </row>
    <row r="51" spans="1:48" hidden="1" x14ac:dyDescent="0.2">
      <c r="A51" s="9" t="s">
        <v>18</v>
      </c>
      <c r="B51" s="9"/>
      <c r="C51" s="7">
        <f>SUM(C43:C50)</f>
        <v>504247.57147782581</v>
      </c>
      <c r="D51" s="45">
        <f>SUM(D43:D50)</f>
        <v>0</v>
      </c>
      <c r="E51" s="57">
        <f>SUM(E43:E50)</f>
        <v>0</v>
      </c>
      <c r="F51" s="57">
        <f>D51+E51</f>
        <v>0</v>
      </c>
      <c r="G51" s="45">
        <f t="shared" ref="G51" si="33">SUM(G43:G50)</f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57">
        <f>SUM(V43:V50)</f>
        <v>0</v>
      </c>
      <c r="W51" s="68"/>
      <c r="X51" s="45">
        <f>SUM(X43:X50)</f>
        <v>-504247.57147782581</v>
      </c>
      <c r="Y51" s="4"/>
      <c r="Z51" s="39">
        <f>X51/C51</f>
        <v>-1</v>
      </c>
      <c r="AA51" s="29">
        <f>X51/C51</f>
        <v>-1</v>
      </c>
      <c r="AB51" s="29"/>
      <c r="AC51" s="29"/>
      <c r="AD51" s="15">
        <f t="shared" si="28"/>
        <v>2856442385.2666664</v>
      </c>
    </row>
    <row r="52" spans="1:48" x14ac:dyDescent="0.2">
      <c r="A52" s="11" t="s">
        <v>314</v>
      </c>
      <c r="B52" s="1"/>
      <c r="C52" s="8">
        <v>1467435.2011306034</v>
      </c>
      <c r="D52" s="46">
        <f t="shared" ref="D52:U52" si="34">D40+D51</f>
        <v>108930.25697306666</v>
      </c>
      <c r="E52" s="58">
        <f t="shared" si="34"/>
        <v>351614.44355226669</v>
      </c>
      <c r="F52" s="58">
        <f t="shared" si="34"/>
        <v>460544.70052533341</v>
      </c>
      <c r="G52" s="52">
        <f t="shared" si="34"/>
        <v>0</v>
      </c>
      <c r="H52" s="52">
        <f t="shared" si="34"/>
        <v>66684.829908089989</v>
      </c>
      <c r="I52" s="97">
        <f t="shared" si="34"/>
        <v>137232.77516811897</v>
      </c>
      <c r="J52" s="97">
        <f t="shared" si="34"/>
        <v>69667.335743466669</v>
      </c>
      <c r="K52" s="97">
        <f t="shared" si="34"/>
        <v>74517.798891600018</v>
      </c>
      <c r="L52" s="97">
        <f t="shared" si="34"/>
        <v>97448.094812116658</v>
      </c>
      <c r="M52" s="97">
        <f t="shared" si="34"/>
        <v>59459.49509987999</v>
      </c>
      <c r="N52" s="97">
        <f t="shared" si="34"/>
        <v>91667.033045333344</v>
      </c>
      <c r="O52" s="97">
        <f t="shared" si="34"/>
        <v>221157.46260504</v>
      </c>
      <c r="P52" s="97">
        <f t="shared" si="34"/>
        <v>210197.63793353335</v>
      </c>
      <c r="Q52" s="97">
        <f t="shared" si="34"/>
        <v>586432.33478123997</v>
      </c>
      <c r="R52" s="97">
        <f t="shared" si="34"/>
        <v>48935.869092859997</v>
      </c>
      <c r="S52" s="97">
        <f t="shared" si="34"/>
        <v>43356.170312399998</v>
      </c>
      <c r="T52" s="97">
        <f t="shared" si="34"/>
        <v>220412.74822271999</v>
      </c>
      <c r="U52" s="97">
        <f t="shared" si="34"/>
        <v>0</v>
      </c>
      <c r="V52" s="46">
        <f>V51+V40</f>
        <v>1927169.5856163991</v>
      </c>
      <c r="W52" s="69">
        <f>W40+W51</f>
        <v>2387714.2861417318</v>
      </c>
      <c r="X52" s="46">
        <f>X40+X51</f>
        <v>920279.08466390613</v>
      </c>
      <c r="Y52" s="4"/>
      <c r="Z52" s="39">
        <f>X52/C52</f>
        <v>0.62713439336528509</v>
      </c>
      <c r="AA52" s="29"/>
      <c r="AB52" s="29"/>
      <c r="AC52" s="29"/>
      <c r="AD52" s="140">
        <f>SUM(AD9:AD38)</f>
        <v>1566043.0739333334</v>
      </c>
      <c r="AE52" s="74">
        <f t="shared" ref="AE52:AT52" si="35">SUM(AE9:AE38)</f>
        <v>659228.21</v>
      </c>
      <c r="AF52" s="74">
        <f t="shared" si="35"/>
        <v>1261164</v>
      </c>
      <c r="AG52" s="74">
        <f t="shared" si="35"/>
        <v>887261.2766666665</v>
      </c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40">
        <f t="shared" si="35"/>
        <v>821671.2122083992</v>
      </c>
      <c r="AU52" s="127">
        <f>AT52/AD52</f>
        <v>0.52467982898111387</v>
      </c>
      <c r="AV52" s="103" t="s">
        <v>317</v>
      </c>
    </row>
    <row r="53" spans="1:48" x14ac:dyDescent="0.2">
      <c r="A53" s="4"/>
      <c r="B53" s="4"/>
      <c r="C53" s="7"/>
      <c r="D53" s="45"/>
      <c r="E53" s="57"/>
      <c r="F53" s="57"/>
      <c r="G53" s="45"/>
      <c r="H53" s="4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57"/>
      <c r="W53" s="68"/>
      <c r="X53" s="45"/>
      <c r="Y53" s="4"/>
      <c r="Z53" s="4"/>
      <c r="AD53" s="15"/>
    </row>
    <row r="54" spans="1:48" x14ac:dyDescent="0.2">
      <c r="A54" s="1" t="s">
        <v>2</v>
      </c>
      <c r="B54" s="1"/>
      <c r="C54" s="30" t="s">
        <v>20</v>
      </c>
      <c r="D54" s="47" t="s">
        <v>99</v>
      </c>
      <c r="E54" s="59" t="s">
        <v>52</v>
      </c>
      <c r="F54" s="59" t="s">
        <v>19</v>
      </c>
      <c r="G54" s="47" t="s">
        <v>49</v>
      </c>
      <c r="H54" s="47" t="s">
        <v>55</v>
      </c>
      <c r="I54" s="30" t="s">
        <v>24</v>
      </c>
      <c r="J54" s="30" t="s">
        <v>139</v>
      </c>
      <c r="K54" s="30" t="s">
        <v>223</v>
      </c>
      <c r="L54" s="30" t="s">
        <v>51</v>
      </c>
      <c r="M54" s="30" t="s">
        <v>62</v>
      </c>
      <c r="N54" s="120" t="s">
        <v>300</v>
      </c>
      <c r="O54" s="30" t="s">
        <v>220</v>
      </c>
      <c r="P54" s="30" t="s">
        <v>205</v>
      </c>
      <c r="Q54" s="30" t="s">
        <v>206</v>
      </c>
      <c r="R54" s="120" t="s">
        <v>306</v>
      </c>
      <c r="S54" s="30" t="s">
        <v>147</v>
      </c>
      <c r="T54" s="30" t="s">
        <v>110</v>
      </c>
      <c r="U54" s="30" t="s">
        <v>58</v>
      </c>
      <c r="V54" s="59" t="s">
        <v>25</v>
      </c>
      <c r="W54" s="70" t="s">
        <v>20</v>
      </c>
      <c r="X54" s="47" t="s">
        <v>60</v>
      </c>
      <c r="Y54" s="4"/>
      <c r="Z54" s="4"/>
      <c r="AD54" s="15"/>
    </row>
    <row r="55" spans="1:48" x14ac:dyDescent="0.2">
      <c r="A55" s="4" t="s">
        <v>305</v>
      </c>
      <c r="B55" s="4"/>
      <c r="C55" s="7">
        <v>18600</v>
      </c>
      <c r="D55" s="45"/>
      <c r="E55" s="57">
        <v>1200</v>
      </c>
      <c r="F55" s="57">
        <f>D55+E55</f>
        <v>1200</v>
      </c>
      <c r="G55" s="45"/>
      <c r="H55" s="45"/>
      <c r="I55" s="7"/>
      <c r="J55" s="7"/>
      <c r="K55" s="7">
        <v>600</v>
      </c>
      <c r="L55" s="7"/>
      <c r="M55" s="7"/>
      <c r="N55" s="7">
        <v>960</v>
      </c>
      <c r="O55" s="7"/>
      <c r="P55" s="7"/>
      <c r="Q55" s="7">
        <v>3300</v>
      </c>
      <c r="R55" s="7"/>
      <c r="S55" s="7"/>
      <c r="T55" s="7"/>
      <c r="U55" s="7">
        <v>2400</v>
      </c>
      <c r="V55" s="57">
        <f t="shared" ref="V55:V76" si="36">G55+H55+I55+J55+K55+L55+M55+O55+P55+Q55+S55+T55+U55</f>
        <v>6300</v>
      </c>
      <c r="W55" s="68">
        <f t="shared" ref="W55:W76" si="37">F55+V55</f>
        <v>7500</v>
      </c>
      <c r="X55" s="45">
        <f t="shared" ref="X55:X75" si="38">W55-C55</f>
        <v>-11100</v>
      </c>
      <c r="Y55" s="4"/>
      <c r="Z55" s="4" t="s">
        <v>119</v>
      </c>
      <c r="AD55" s="15"/>
    </row>
    <row r="56" spans="1:48" x14ac:dyDescent="0.2">
      <c r="A56" s="4" t="s">
        <v>146</v>
      </c>
      <c r="B56" s="4"/>
      <c r="C56" s="7">
        <v>32416</v>
      </c>
      <c r="D56" s="45"/>
      <c r="E56" s="57">
        <v>2000</v>
      </c>
      <c r="F56" s="57">
        <f t="shared" ref="F56:F68" si="39">D56+E56</f>
        <v>2000</v>
      </c>
      <c r="G56" s="45"/>
      <c r="H56" s="45"/>
      <c r="I56" s="7"/>
      <c r="J56" s="7"/>
      <c r="K56" s="7"/>
      <c r="L56" s="7">
        <v>300</v>
      </c>
      <c r="M56" s="7">
        <v>480</v>
      </c>
      <c r="N56" s="7">
        <v>280</v>
      </c>
      <c r="O56" s="7">
        <v>3600</v>
      </c>
      <c r="P56" s="7"/>
      <c r="Q56" s="7"/>
      <c r="R56" s="7"/>
      <c r="S56" s="7"/>
      <c r="T56" s="7">
        <v>1000</v>
      </c>
      <c r="U56" s="7">
        <v>25000</v>
      </c>
      <c r="V56" s="57">
        <f t="shared" si="36"/>
        <v>30380</v>
      </c>
      <c r="W56" s="68">
        <f t="shared" si="37"/>
        <v>32380</v>
      </c>
      <c r="X56" s="45">
        <f t="shared" si="38"/>
        <v>-36</v>
      </c>
      <c r="Y56" s="4"/>
      <c r="Z56" s="4" t="s">
        <v>190</v>
      </c>
      <c r="AD56" s="15"/>
    </row>
    <row r="57" spans="1:48" x14ac:dyDescent="0.2">
      <c r="A57" s="4" t="s">
        <v>298</v>
      </c>
      <c r="B57" s="4"/>
      <c r="C57" s="7">
        <v>5700</v>
      </c>
      <c r="D57" s="45"/>
      <c r="E57" s="57">
        <f>350*12</f>
        <v>4200</v>
      </c>
      <c r="F57" s="57">
        <f t="shared" si="39"/>
        <v>4200</v>
      </c>
      <c r="G57" s="45"/>
      <c r="H57" s="45"/>
      <c r="I57" s="7"/>
      <c r="J57" s="7"/>
      <c r="K57" s="7"/>
      <c r="L57" s="7"/>
      <c r="M57" s="7"/>
      <c r="N57" s="7"/>
      <c r="O57" s="7"/>
      <c r="P57" s="7"/>
      <c r="Q57" s="7">
        <v>24000</v>
      </c>
      <c r="R57" s="7"/>
      <c r="S57" s="7"/>
      <c r="T57" s="7"/>
      <c r="U57" s="7">
        <v>1200</v>
      </c>
      <c r="V57" s="57">
        <f t="shared" si="36"/>
        <v>25200</v>
      </c>
      <c r="W57" s="68">
        <f t="shared" si="37"/>
        <v>29400</v>
      </c>
      <c r="X57" s="45">
        <f t="shared" si="38"/>
        <v>23700</v>
      </c>
      <c r="Y57" s="4"/>
      <c r="Z57" s="4" t="s">
        <v>120</v>
      </c>
      <c r="AD57" s="15"/>
    </row>
    <row r="58" spans="1:48" x14ac:dyDescent="0.2">
      <c r="A58" s="4" t="s">
        <v>148</v>
      </c>
      <c r="B58" s="4"/>
      <c r="C58" s="7">
        <v>52050</v>
      </c>
      <c r="D58" s="45"/>
      <c r="E58" s="57"/>
      <c r="F58" s="57"/>
      <c r="G58" s="45"/>
      <c r="H58" s="45"/>
      <c r="I58" s="7"/>
      <c r="J58" s="7"/>
      <c r="K58" s="7"/>
      <c r="L58" s="7"/>
      <c r="M58" s="7"/>
      <c r="N58" s="7"/>
      <c r="O58" s="7">
        <v>3750</v>
      </c>
      <c r="P58" s="7"/>
      <c r="Q58" s="7">
        <v>12000</v>
      </c>
      <c r="R58" s="7"/>
      <c r="S58" s="7"/>
      <c r="T58" s="7">
        <v>3000</v>
      </c>
      <c r="U58" s="7">
        <v>29250</v>
      </c>
      <c r="V58" s="57">
        <f t="shared" si="36"/>
        <v>48000</v>
      </c>
      <c r="W58" s="68">
        <f t="shared" si="37"/>
        <v>48000</v>
      </c>
      <c r="X58" s="45">
        <f t="shared" si="38"/>
        <v>-4050</v>
      </c>
      <c r="Y58" s="4"/>
      <c r="Z58" s="4" t="s">
        <v>149</v>
      </c>
      <c r="AD58" s="15"/>
    </row>
    <row r="59" spans="1:48" x14ac:dyDescent="0.2">
      <c r="A59" s="4" t="s">
        <v>32</v>
      </c>
      <c r="B59" s="4"/>
      <c r="C59" s="7">
        <v>5220</v>
      </c>
      <c r="D59" s="45">
        <v>540</v>
      </c>
      <c r="E59" s="57">
        <v>2260</v>
      </c>
      <c r="F59" s="57">
        <f t="shared" si="39"/>
        <v>2800</v>
      </c>
      <c r="G59" s="45"/>
      <c r="H59" s="45">
        <v>360</v>
      </c>
      <c r="I59" s="7"/>
      <c r="J59" s="7"/>
      <c r="K59" s="7"/>
      <c r="L59" s="7">
        <v>240</v>
      </c>
      <c r="M59" s="7">
        <v>125</v>
      </c>
      <c r="N59" s="7">
        <v>180</v>
      </c>
      <c r="O59" s="7"/>
      <c r="P59" s="7">
        <v>360</v>
      </c>
      <c r="Q59" s="7">
        <v>720</v>
      </c>
      <c r="R59" s="7"/>
      <c r="S59" s="7"/>
      <c r="T59" s="7"/>
      <c r="U59" s="7">
        <f>300+350+500+125+125</f>
        <v>1400</v>
      </c>
      <c r="V59" s="57">
        <f t="shared" si="36"/>
        <v>3205</v>
      </c>
      <c r="W59" s="68">
        <f t="shared" si="37"/>
        <v>6005</v>
      </c>
      <c r="X59" s="45">
        <f t="shared" si="38"/>
        <v>785</v>
      </c>
      <c r="Y59" s="4"/>
      <c r="Z59" s="4" t="s">
        <v>79</v>
      </c>
      <c r="AD59" s="15"/>
    </row>
    <row r="60" spans="1:48" x14ac:dyDescent="0.2">
      <c r="A60" s="4" t="s">
        <v>3</v>
      </c>
      <c r="B60" s="4"/>
      <c r="C60" s="7">
        <v>5568</v>
      </c>
      <c r="D60" s="45">
        <f>3600*0.4</f>
        <v>1440</v>
      </c>
      <c r="E60" s="57">
        <f>3600*0.6</f>
        <v>2160</v>
      </c>
      <c r="F60" s="57">
        <f t="shared" si="39"/>
        <v>3600</v>
      </c>
      <c r="G60" s="45"/>
      <c r="H60" s="4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240</v>
      </c>
      <c r="U60" s="7">
        <f>(140*4)+(99*12)-T60</f>
        <v>1508</v>
      </c>
      <c r="V60" s="57">
        <f t="shared" si="36"/>
        <v>1748</v>
      </c>
      <c r="W60" s="68">
        <f t="shared" si="37"/>
        <v>5348</v>
      </c>
      <c r="X60" s="45">
        <f t="shared" si="38"/>
        <v>-220</v>
      </c>
      <c r="Y60" s="4"/>
      <c r="Z60" s="4" t="s">
        <v>150</v>
      </c>
      <c r="AD60" s="15"/>
    </row>
    <row r="61" spans="1:48" x14ac:dyDescent="0.2">
      <c r="A61" s="4" t="s">
        <v>4</v>
      </c>
      <c r="B61" s="4"/>
      <c r="C61" s="7">
        <v>7260</v>
      </c>
      <c r="D61" s="45">
        <v>1008</v>
      </c>
      <c r="E61" s="57">
        <f>4*840-1008</f>
        <v>2352</v>
      </c>
      <c r="F61" s="57">
        <f t="shared" si="39"/>
        <v>3360</v>
      </c>
      <c r="G61" s="45"/>
      <c r="H61" s="45">
        <v>840</v>
      </c>
      <c r="I61" s="7"/>
      <c r="J61" s="7"/>
      <c r="K61" s="7"/>
      <c r="L61" s="7">
        <v>840</v>
      </c>
      <c r="M61" s="7"/>
      <c r="N61" s="7"/>
      <c r="O61" s="7"/>
      <c r="P61" s="7">
        <v>840</v>
      </c>
      <c r="Q61" s="7">
        <v>1680</v>
      </c>
      <c r="R61" s="7"/>
      <c r="S61" s="7"/>
      <c r="T61" s="7"/>
      <c r="U61" s="7">
        <v>1320</v>
      </c>
      <c r="V61" s="57">
        <f t="shared" si="36"/>
        <v>5520</v>
      </c>
      <c r="W61" s="68">
        <f t="shared" si="37"/>
        <v>8880</v>
      </c>
      <c r="X61" s="45">
        <f t="shared" si="38"/>
        <v>1620</v>
      </c>
      <c r="Y61" s="4"/>
      <c r="Z61" s="4" t="s">
        <v>117</v>
      </c>
      <c r="AD61" s="15"/>
    </row>
    <row r="62" spans="1:48" x14ac:dyDescent="0.2">
      <c r="A62" s="4" t="s">
        <v>5</v>
      </c>
      <c r="B62" s="4"/>
      <c r="C62" s="7">
        <v>2600</v>
      </c>
      <c r="D62" s="45"/>
      <c r="E62" s="57">
        <v>480</v>
      </c>
      <c r="F62" s="57">
        <f t="shared" si="39"/>
        <v>480</v>
      </c>
      <c r="G62" s="45"/>
      <c r="H62" s="45"/>
      <c r="I62" s="7"/>
      <c r="J62" s="7"/>
      <c r="K62" s="7"/>
      <c r="L62" s="7">
        <v>480</v>
      </c>
      <c r="M62" s="7">
        <v>120</v>
      </c>
      <c r="N62" s="7"/>
      <c r="O62" s="7"/>
      <c r="P62" s="7"/>
      <c r="Q62" s="7"/>
      <c r="R62" s="7"/>
      <c r="S62" s="7"/>
      <c r="T62" s="7"/>
      <c r="U62" s="7">
        <f>3960-M62-L62-480</f>
        <v>2880</v>
      </c>
      <c r="V62" s="57">
        <f t="shared" si="36"/>
        <v>3480</v>
      </c>
      <c r="W62" s="68">
        <f t="shared" si="37"/>
        <v>3960</v>
      </c>
      <c r="X62" s="45">
        <f t="shared" si="38"/>
        <v>1360</v>
      </c>
      <c r="Y62" s="4"/>
      <c r="Z62" s="4" t="s">
        <v>80</v>
      </c>
      <c r="AD62" s="15"/>
    </row>
    <row r="63" spans="1:48" x14ac:dyDescent="0.2">
      <c r="A63" s="4" t="s">
        <v>39</v>
      </c>
      <c r="B63" s="4"/>
      <c r="C63" s="7">
        <v>7200</v>
      </c>
      <c r="D63" s="45">
        <v>1440</v>
      </c>
      <c r="E63" s="57">
        <f>3600-1440</f>
        <v>2160</v>
      </c>
      <c r="F63" s="57">
        <f t="shared" si="39"/>
        <v>3600</v>
      </c>
      <c r="G63" s="45"/>
      <c r="H63" s="45">
        <v>1800</v>
      </c>
      <c r="I63" s="7"/>
      <c r="J63" s="7"/>
      <c r="K63" s="7"/>
      <c r="L63" s="7">
        <f>240+300</f>
        <v>540</v>
      </c>
      <c r="M63" s="7"/>
      <c r="N63" s="7"/>
      <c r="O63" s="7">
        <f>1440/12*10</f>
        <v>1200</v>
      </c>
      <c r="P63" s="7">
        <v>1200</v>
      </c>
      <c r="Q63" s="7">
        <v>6000</v>
      </c>
      <c r="R63" s="7"/>
      <c r="S63" s="7"/>
      <c r="T63" s="7"/>
      <c r="U63" s="7">
        <v>1200</v>
      </c>
      <c r="V63" s="57">
        <f t="shared" si="36"/>
        <v>11940</v>
      </c>
      <c r="W63" s="68">
        <f t="shared" si="37"/>
        <v>15540</v>
      </c>
      <c r="X63" s="45">
        <f t="shared" si="38"/>
        <v>8340</v>
      </c>
      <c r="Y63" s="4"/>
      <c r="Z63" s="4" t="s">
        <v>229</v>
      </c>
      <c r="AD63" s="15"/>
    </row>
    <row r="64" spans="1:48" x14ac:dyDescent="0.2">
      <c r="A64" s="4" t="s">
        <v>31</v>
      </c>
      <c r="B64" s="4"/>
      <c r="C64" s="7">
        <v>1680</v>
      </c>
      <c r="D64" s="45"/>
      <c r="E64" s="57">
        <v>1200</v>
      </c>
      <c r="F64" s="57">
        <f t="shared" si="39"/>
        <v>1200</v>
      </c>
      <c r="G64" s="45"/>
      <c r="H64" s="4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>
        <v>2400</v>
      </c>
      <c r="V64" s="57">
        <f t="shared" si="36"/>
        <v>2400</v>
      </c>
      <c r="W64" s="68">
        <f t="shared" si="37"/>
        <v>3600</v>
      </c>
      <c r="X64" s="45">
        <f t="shared" si="38"/>
        <v>1920</v>
      </c>
      <c r="Y64" s="4"/>
      <c r="Z64" s="4" t="s">
        <v>121</v>
      </c>
      <c r="AD64" s="15"/>
    </row>
    <row r="65" spans="1:30" x14ac:dyDescent="0.2">
      <c r="A65" s="4" t="s">
        <v>40</v>
      </c>
      <c r="B65" s="4"/>
      <c r="C65" s="7">
        <v>9748</v>
      </c>
      <c r="D65" s="45">
        <v>630</v>
      </c>
      <c r="E65" s="129">
        <f>3360-630</f>
        <v>2730</v>
      </c>
      <c r="F65" s="57">
        <f t="shared" si="39"/>
        <v>3360</v>
      </c>
      <c r="G65" s="51"/>
      <c r="H65" s="51">
        <f>768</f>
        <v>768</v>
      </c>
      <c r="I65" s="37">
        <f>414+250</f>
        <v>664</v>
      </c>
      <c r="J65" s="37">
        <v>414</v>
      </c>
      <c r="K65" s="37">
        <v>414</v>
      </c>
      <c r="L65" s="37">
        <v>768</v>
      </c>
      <c r="M65" s="37">
        <v>768</v>
      </c>
      <c r="N65" s="37">
        <v>768</v>
      </c>
      <c r="O65" s="37">
        <f>768*2</f>
        <v>1536</v>
      </c>
      <c r="P65" s="124">
        <f>768*2</f>
        <v>1536</v>
      </c>
      <c r="Q65" s="124">
        <v>4608</v>
      </c>
      <c r="R65" s="124">
        <v>5546</v>
      </c>
      <c r="S65" s="37">
        <v>414</v>
      </c>
      <c r="T65" s="37">
        <v>828</v>
      </c>
      <c r="U65" s="78">
        <v>600</v>
      </c>
      <c r="V65" s="57">
        <f t="shared" si="36"/>
        <v>13318</v>
      </c>
      <c r="W65" s="68">
        <f t="shared" si="37"/>
        <v>16678</v>
      </c>
      <c r="X65" s="45">
        <f t="shared" si="38"/>
        <v>6930</v>
      </c>
      <c r="Y65" s="4"/>
      <c r="Z65" s="4" t="s">
        <v>122</v>
      </c>
      <c r="AD65" s="15"/>
    </row>
    <row r="66" spans="1:30" x14ac:dyDescent="0.2">
      <c r="A66" t="s">
        <v>6</v>
      </c>
      <c r="C66" s="7">
        <v>10860</v>
      </c>
      <c r="D66" s="45">
        <v>1800</v>
      </c>
      <c r="E66" s="57">
        <f>5160-1800</f>
        <v>3360</v>
      </c>
      <c r="F66" s="57">
        <f t="shared" si="39"/>
        <v>5160</v>
      </c>
      <c r="G66" s="45"/>
      <c r="H66" s="45"/>
      <c r="I66" s="7"/>
      <c r="J66" s="7"/>
      <c r="K66" s="7"/>
      <c r="L66" s="7">
        <v>240</v>
      </c>
      <c r="M66" s="7">
        <v>120</v>
      </c>
      <c r="N66" s="7">
        <v>240</v>
      </c>
      <c r="O66" s="7"/>
      <c r="P66" s="7">
        <v>360</v>
      </c>
      <c r="Q66" s="7">
        <v>1200</v>
      </c>
      <c r="R66" s="7"/>
      <c r="S66" s="7">
        <v>240</v>
      </c>
      <c r="T66" s="7">
        <f>360+576</f>
        <v>936</v>
      </c>
      <c r="U66" s="7">
        <v>3600</v>
      </c>
      <c r="V66" s="57">
        <f t="shared" si="36"/>
        <v>6696</v>
      </c>
      <c r="W66" s="68">
        <f t="shared" si="37"/>
        <v>11856</v>
      </c>
      <c r="X66" s="45">
        <f t="shared" si="38"/>
        <v>996</v>
      </c>
      <c r="Y66" s="4"/>
      <c r="Z66" s="4" t="s">
        <v>71</v>
      </c>
      <c r="AD66" s="15"/>
    </row>
    <row r="67" spans="1:30" x14ac:dyDescent="0.2">
      <c r="A67" t="s">
        <v>38</v>
      </c>
      <c r="C67" s="7">
        <v>4560</v>
      </c>
      <c r="D67" s="45">
        <v>1560</v>
      </c>
      <c r="E67" s="57">
        <f>3900-D67</f>
        <v>2340</v>
      </c>
      <c r="F67" s="57">
        <f t="shared" si="39"/>
        <v>3900</v>
      </c>
      <c r="G67" s="45"/>
      <c r="H67" s="45"/>
      <c r="I67" s="7"/>
      <c r="J67" s="7"/>
      <c r="K67" s="7"/>
      <c r="L67" s="7">
        <v>120</v>
      </c>
      <c r="M67" s="7">
        <v>60</v>
      </c>
      <c r="N67" s="7">
        <v>90</v>
      </c>
      <c r="O67" s="7"/>
      <c r="P67" s="7">
        <v>240</v>
      </c>
      <c r="Q67" s="7">
        <v>3600</v>
      </c>
      <c r="R67" s="7"/>
      <c r="S67" s="7"/>
      <c r="T67" s="7">
        <v>240</v>
      </c>
      <c r="U67" s="7">
        <v>120</v>
      </c>
      <c r="V67" s="57">
        <f t="shared" si="36"/>
        <v>4380</v>
      </c>
      <c r="W67" s="68">
        <f t="shared" si="37"/>
        <v>8280</v>
      </c>
      <c r="X67" s="45">
        <f t="shared" si="38"/>
        <v>3720</v>
      </c>
      <c r="Y67" s="4"/>
      <c r="Z67" s="4" t="s">
        <v>71</v>
      </c>
      <c r="AD67" s="15"/>
    </row>
    <row r="68" spans="1:30" x14ac:dyDescent="0.2">
      <c r="A68" s="21" t="s">
        <v>28</v>
      </c>
      <c r="B68" s="21"/>
      <c r="C68" s="7">
        <v>10320</v>
      </c>
      <c r="D68" s="45">
        <v>1800</v>
      </c>
      <c r="E68" s="57">
        <v>1200</v>
      </c>
      <c r="F68" s="57">
        <f t="shared" si="39"/>
        <v>3000</v>
      </c>
      <c r="G68" s="45"/>
      <c r="H68" s="45"/>
      <c r="I68" s="7"/>
      <c r="J68" s="7"/>
      <c r="K68" s="7"/>
      <c r="L68" s="7">
        <v>120</v>
      </c>
      <c r="M68" s="7">
        <v>240</v>
      </c>
      <c r="N68" s="7">
        <v>240</v>
      </c>
      <c r="O68" s="7"/>
      <c r="P68" s="7">
        <v>480</v>
      </c>
      <c r="Q68" s="7">
        <f>9000-Q67</f>
        <v>5400</v>
      </c>
      <c r="R68" s="7"/>
      <c r="S68" s="7"/>
      <c r="T68" s="7">
        <v>2400</v>
      </c>
      <c r="U68" s="7">
        <v>600</v>
      </c>
      <c r="V68" s="57">
        <f t="shared" si="36"/>
        <v>9240</v>
      </c>
      <c r="W68" s="68">
        <f t="shared" si="37"/>
        <v>12240</v>
      </c>
      <c r="X68" s="45">
        <f t="shared" si="38"/>
        <v>1920</v>
      </c>
      <c r="Y68" s="4"/>
      <c r="Z68" s="4" t="s">
        <v>71</v>
      </c>
      <c r="AD68" s="15"/>
    </row>
    <row r="69" spans="1:30" x14ac:dyDescent="0.2">
      <c r="A69" s="4" t="s">
        <v>7</v>
      </c>
      <c r="B69" s="4"/>
      <c r="C69" s="7">
        <v>4920</v>
      </c>
      <c r="D69" s="45"/>
      <c r="E69" s="57"/>
      <c r="F69" s="57"/>
      <c r="G69" s="45"/>
      <c r="H69" s="4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>
        <v>6400</v>
      </c>
      <c r="V69" s="57">
        <f t="shared" si="36"/>
        <v>6400</v>
      </c>
      <c r="W69" s="68">
        <f t="shared" si="37"/>
        <v>6400</v>
      </c>
      <c r="X69" s="45">
        <f t="shared" si="38"/>
        <v>1480</v>
      </c>
      <c r="Y69" s="4"/>
      <c r="Z69" s="4" t="s">
        <v>112</v>
      </c>
      <c r="AD69" s="15"/>
    </row>
    <row r="70" spans="1:30" x14ac:dyDescent="0.2">
      <c r="A70" s="4" t="s">
        <v>8</v>
      </c>
      <c r="B70" s="4"/>
      <c r="C70" s="7">
        <v>52910</v>
      </c>
      <c r="D70" s="45"/>
      <c r="E70" s="57">
        <f>20400-D70</f>
        <v>20400</v>
      </c>
      <c r="F70" s="57">
        <f t="shared" ref="F70:F75" si="40">D70+E70</f>
        <v>20400</v>
      </c>
      <c r="G70" s="45"/>
      <c r="H70" s="45"/>
      <c r="I70" s="7"/>
      <c r="J70" s="7"/>
      <c r="K70" s="7"/>
      <c r="L70" s="7">
        <f>450*12</f>
        <v>5400</v>
      </c>
      <c r="M70" s="7">
        <v>1800</v>
      </c>
      <c r="N70" s="7">
        <f>3144-432</f>
        <v>2712</v>
      </c>
      <c r="O70" s="7"/>
      <c r="P70" s="7"/>
      <c r="Q70" s="7">
        <f>450*3*12</f>
        <v>16200</v>
      </c>
      <c r="R70" s="7"/>
      <c r="S70" s="7"/>
      <c r="T70" s="7">
        <f>5400</f>
        <v>5400</v>
      </c>
      <c r="U70" s="7">
        <v>9000</v>
      </c>
      <c r="V70" s="57">
        <f t="shared" si="36"/>
        <v>37800</v>
      </c>
      <c r="W70" s="68">
        <f t="shared" si="37"/>
        <v>58200</v>
      </c>
      <c r="X70" s="45">
        <f t="shared" si="38"/>
        <v>5290</v>
      </c>
      <c r="Y70" s="4"/>
      <c r="Z70" s="4" t="s">
        <v>113</v>
      </c>
      <c r="AD70" s="15"/>
    </row>
    <row r="71" spans="1:30" x14ac:dyDescent="0.2">
      <c r="A71" s="4" t="s">
        <v>9</v>
      </c>
      <c r="B71" s="4"/>
      <c r="C71" s="7">
        <v>5220</v>
      </c>
      <c r="D71" s="45"/>
      <c r="E71" s="57">
        <v>360</v>
      </c>
      <c r="F71" s="57">
        <f t="shared" si="40"/>
        <v>360</v>
      </c>
      <c r="G71" s="45"/>
      <c r="H71" s="4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>
        <v>360</v>
      </c>
      <c r="V71" s="57">
        <f t="shared" si="36"/>
        <v>360</v>
      </c>
      <c r="W71" s="68">
        <f t="shared" si="37"/>
        <v>720</v>
      </c>
      <c r="X71" s="45">
        <f t="shared" si="38"/>
        <v>-4500</v>
      </c>
      <c r="Y71" s="4"/>
      <c r="Z71" s="4" t="s">
        <v>152</v>
      </c>
      <c r="AA71" s="15"/>
      <c r="AB71" s="15"/>
      <c r="AC71" s="15"/>
      <c r="AD71" s="15"/>
    </row>
    <row r="72" spans="1:30" x14ac:dyDescent="0.2">
      <c r="A72" s="4" t="s">
        <v>145</v>
      </c>
      <c r="B72" s="4"/>
      <c r="C72" s="7">
        <v>697840.54</v>
      </c>
      <c r="D72" s="45"/>
      <c r="E72" s="57"/>
      <c r="F72" s="57"/>
      <c r="G72" s="45"/>
      <c r="H72" s="45"/>
      <c r="I72" s="7"/>
      <c r="J72" s="7"/>
      <c r="K72" s="7"/>
      <c r="L72" s="7"/>
      <c r="M72" s="7"/>
      <c r="N72" s="7"/>
      <c r="O72" s="7"/>
      <c r="P72" s="7">
        <v>68000</v>
      </c>
      <c r="Q72" s="7"/>
      <c r="R72" s="7"/>
      <c r="S72" s="7"/>
      <c r="T72" s="7">
        <f>6000+210</f>
        <v>6210</v>
      </c>
      <c r="U72" s="7"/>
      <c r="V72" s="57">
        <f t="shared" si="36"/>
        <v>74210</v>
      </c>
      <c r="W72" s="68">
        <f t="shared" si="37"/>
        <v>74210</v>
      </c>
      <c r="X72" s="45">
        <f t="shared" si="38"/>
        <v>-623630.54</v>
      </c>
      <c r="Y72" s="4"/>
      <c r="Z72" s="4" t="s">
        <v>151</v>
      </c>
      <c r="AA72" s="15"/>
      <c r="AB72" s="15"/>
      <c r="AC72" s="15"/>
      <c r="AD72" s="15"/>
    </row>
    <row r="73" spans="1:30" x14ac:dyDescent="0.2">
      <c r="A73" s="4" t="s">
        <v>184</v>
      </c>
      <c r="B73" s="4"/>
      <c r="C73" s="7">
        <v>39005</v>
      </c>
      <c r="D73" s="45">
        <v>2160</v>
      </c>
      <c r="E73" s="57">
        <f>7680-D73</f>
        <v>5520</v>
      </c>
      <c r="F73" s="57">
        <f t="shared" si="40"/>
        <v>7680</v>
      </c>
      <c r="G73" s="45"/>
      <c r="H73" s="45">
        <f>36*12</f>
        <v>432</v>
      </c>
      <c r="I73" s="7">
        <f t="shared" ref="I73:J73" si="41">36*12</f>
        <v>432</v>
      </c>
      <c r="J73" s="7">
        <f t="shared" si="41"/>
        <v>432</v>
      </c>
      <c r="K73" s="7">
        <v>720</v>
      </c>
      <c r="L73" s="7">
        <f>36*12+10*12</f>
        <v>552</v>
      </c>
      <c r="M73" s="7">
        <v>720</v>
      </c>
      <c r="N73" s="7">
        <f>1200+36*12</f>
        <v>1632</v>
      </c>
      <c r="O73" s="7">
        <f>36*12*2</f>
        <v>864</v>
      </c>
      <c r="P73" s="7">
        <f>36*12*2</f>
        <v>864</v>
      </c>
      <c r="Q73" s="7">
        <f>600+3120</f>
        <v>3720</v>
      </c>
      <c r="R73" s="7"/>
      <c r="S73" s="7">
        <f>36*12</f>
        <v>432</v>
      </c>
      <c r="T73" s="7">
        <f>36*12*2+30*12</f>
        <v>1224</v>
      </c>
      <c r="U73" s="7">
        <v>21000</v>
      </c>
      <c r="V73" s="57">
        <f t="shared" si="36"/>
        <v>31392</v>
      </c>
      <c r="W73" s="68">
        <f t="shared" si="37"/>
        <v>39072</v>
      </c>
      <c r="X73" s="45">
        <f t="shared" si="38"/>
        <v>67</v>
      </c>
      <c r="Y73" s="4"/>
      <c r="Z73" s="4" t="s">
        <v>95</v>
      </c>
      <c r="AD73" s="15"/>
    </row>
    <row r="74" spans="1:30" x14ac:dyDescent="0.2">
      <c r="A74" s="4" t="s">
        <v>111</v>
      </c>
      <c r="B74" s="4"/>
      <c r="C74" s="7">
        <v>40004</v>
      </c>
      <c r="D74" s="45">
        <v>4200</v>
      </c>
      <c r="E74" s="57">
        <f>6600-D74</f>
        <v>2400</v>
      </c>
      <c r="F74" s="57">
        <f t="shared" si="40"/>
        <v>6600</v>
      </c>
      <c r="G74" s="45"/>
      <c r="H74" s="45">
        <v>2400</v>
      </c>
      <c r="I74" s="7">
        <v>1800</v>
      </c>
      <c r="J74" s="7">
        <v>1800</v>
      </c>
      <c r="K74" s="7">
        <v>1800</v>
      </c>
      <c r="L74" s="7">
        <v>2400</v>
      </c>
      <c r="M74" s="7">
        <v>1800</v>
      </c>
      <c r="N74" s="7">
        <v>1680</v>
      </c>
      <c r="O74" s="7">
        <f>5800+3600</f>
        <v>9400</v>
      </c>
      <c r="P74" s="7">
        <v>4800</v>
      </c>
      <c r="Q74" s="7">
        <v>3360</v>
      </c>
      <c r="R74" s="7"/>
      <c r="S74" s="7">
        <v>1200</v>
      </c>
      <c r="T74" s="7">
        <f>3600+984</f>
        <v>4584</v>
      </c>
      <c r="U74" s="7">
        <v>0</v>
      </c>
      <c r="V74" s="57">
        <f t="shared" si="36"/>
        <v>35344</v>
      </c>
      <c r="W74" s="68">
        <f t="shared" si="37"/>
        <v>41944</v>
      </c>
      <c r="X74" s="45">
        <f t="shared" si="38"/>
        <v>1940</v>
      </c>
      <c r="Y74" s="4"/>
      <c r="Z74" s="4" t="s">
        <v>185</v>
      </c>
      <c r="AA74" s="79"/>
      <c r="AB74" s="79"/>
      <c r="AC74" s="79"/>
      <c r="AD74" s="15"/>
    </row>
    <row r="75" spans="1:30" x14ac:dyDescent="0.2">
      <c r="A75" s="4" t="s">
        <v>59</v>
      </c>
      <c r="B75" s="4"/>
      <c r="C75" s="7">
        <v>5820</v>
      </c>
      <c r="D75" s="45"/>
      <c r="E75" s="57">
        <v>600</v>
      </c>
      <c r="F75" s="57">
        <f t="shared" si="40"/>
        <v>600</v>
      </c>
      <c r="G75" s="45"/>
      <c r="H75" s="45"/>
      <c r="I75" s="7"/>
      <c r="J75" s="7"/>
      <c r="K75" s="7"/>
      <c r="L75" s="7">
        <v>300</v>
      </c>
      <c r="M75" s="7">
        <v>300</v>
      </c>
      <c r="N75" s="7">
        <v>200</v>
      </c>
      <c r="O75" s="7"/>
      <c r="P75" s="7">
        <v>600</v>
      </c>
      <c r="Q75" s="7"/>
      <c r="R75" s="7"/>
      <c r="S75" s="7"/>
      <c r="T75" s="7">
        <v>600</v>
      </c>
      <c r="U75" s="7">
        <v>3000</v>
      </c>
      <c r="V75" s="57">
        <f t="shared" si="36"/>
        <v>4800</v>
      </c>
      <c r="W75" s="68">
        <f t="shared" si="37"/>
        <v>5400</v>
      </c>
      <c r="X75" s="45">
        <f t="shared" si="38"/>
        <v>-420</v>
      </c>
      <c r="Y75" s="4"/>
      <c r="Z75" s="4" t="s">
        <v>72</v>
      </c>
      <c r="AA75" s="79"/>
      <c r="AB75" s="79"/>
      <c r="AC75" s="79"/>
      <c r="AD75" s="15"/>
    </row>
    <row r="76" spans="1:30" x14ac:dyDescent="0.2">
      <c r="A76" s="4" t="s">
        <v>224</v>
      </c>
      <c r="B76" s="4"/>
      <c r="C76" s="7">
        <v>3135.9133333333325</v>
      </c>
      <c r="D76" s="45"/>
      <c r="E76" s="57"/>
      <c r="F76" s="57"/>
      <c r="G76" s="45"/>
      <c r="H76" s="45"/>
      <c r="I76" s="7"/>
      <c r="J76" s="7"/>
      <c r="K76" s="7"/>
      <c r="L76" s="7">
        <f>10000-L70</f>
        <v>4600</v>
      </c>
      <c r="M76" s="7"/>
      <c r="N76" s="7">
        <v>4870</v>
      </c>
      <c r="O76" s="7">
        <f>(O90*0.077)-O58-O71-O10</f>
        <v>9884.6000652000002</v>
      </c>
      <c r="P76" s="7"/>
      <c r="Q76" s="7"/>
      <c r="R76" s="7"/>
      <c r="S76" s="7"/>
      <c r="T76" s="7">
        <v>10440</v>
      </c>
      <c r="U76" s="7"/>
      <c r="V76" s="57">
        <f t="shared" si="36"/>
        <v>24924.6000652</v>
      </c>
      <c r="W76" s="68">
        <f t="shared" si="37"/>
        <v>24924.6000652</v>
      </c>
      <c r="X76" s="45"/>
      <c r="Y76" s="4"/>
      <c r="Z76" s="4"/>
      <c r="AA76" s="79"/>
      <c r="AB76" s="79"/>
      <c r="AC76" s="79"/>
      <c r="AD76" s="15"/>
    </row>
    <row r="77" spans="1:30" x14ac:dyDescent="0.2">
      <c r="A77" s="1" t="s">
        <v>10</v>
      </c>
      <c r="B77" s="1"/>
      <c r="C77" s="7">
        <v>1019501.54</v>
      </c>
      <c r="D77" s="45">
        <f t="shared" ref="D77:W77" si="42">SUM(D55:D76)</f>
        <v>16578</v>
      </c>
      <c r="E77" s="57">
        <f t="shared" si="42"/>
        <v>56922</v>
      </c>
      <c r="F77" s="45">
        <f t="shared" si="42"/>
        <v>73500</v>
      </c>
      <c r="G77" s="45">
        <f t="shared" si="42"/>
        <v>0</v>
      </c>
      <c r="H77" s="45">
        <f t="shared" si="42"/>
        <v>6600</v>
      </c>
      <c r="I77" s="7">
        <f t="shared" si="42"/>
        <v>2896</v>
      </c>
      <c r="J77" s="7">
        <f t="shared" si="42"/>
        <v>2646</v>
      </c>
      <c r="K77" s="7">
        <f t="shared" si="42"/>
        <v>3534</v>
      </c>
      <c r="L77" s="7">
        <f t="shared" si="42"/>
        <v>16900</v>
      </c>
      <c r="M77" s="7">
        <f t="shared" si="42"/>
        <v>6533</v>
      </c>
      <c r="N77" s="7">
        <f t="shared" si="42"/>
        <v>13852</v>
      </c>
      <c r="O77" s="7">
        <f t="shared" si="42"/>
        <v>30234.6000652</v>
      </c>
      <c r="P77" s="7">
        <f t="shared" si="42"/>
        <v>79280</v>
      </c>
      <c r="Q77" s="7">
        <f t="shared" si="42"/>
        <v>85788</v>
      </c>
      <c r="R77" s="7">
        <f t="shared" si="42"/>
        <v>5546</v>
      </c>
      <c r="S77" s="7">
        <f t="shared" si="42"/>
        <v>2286</v>
      </c>
      <c r="T77" s="7">
        <f t="shared" si="42"/>
        <v>37102</v>
      </c>
      <c r="U77" s="7">
        <f t="shared" si="42"/>
        <v>113238</v>
      </c>
      <c r="V77" s="57">
        <f t="shared" si="42"/>
        <v>387037.60006520001</v>
      </c>
      <c r="W77" s="68">
        <f t="shared" si="42"/>
        <v>460537.60006520001</v>
      </c>
      <c r="X77" s="45">
        <f>W77-C77</f>
        <v>-558963.93993480003</v>
      </c>
      <c r="Y77" s="6"/>
      <c r="Z77" s="39"/>
      <c r="AA77" s="79"/>
      <c r="AB77" s="79"/>
      <c r="AC77" s="79"/>
      <c r="AD77" s="15"/>
    </row>
    <row r="78" spans="1:30" x14ac:dyDescent="0.2">
      <c r="A78" s="1"/>
      <c r="B78" s="1"/>
      <c r="C78" s="7"/>
      <c r="D78" s="45"/>
      <c r="E78" s="57"/>
      <c r="F78" s="45"/>
      <c r="G78" s="45"/>
      <c r="H78" s="4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57"/>
      <c r="W78" s="68"/>
      <c r="X78" s="45"/>
      <c r="Y78" s="6"/>
      <c r="Z78" s="39"/>
      <c r="AA78" s="79"/>
      <c r="AB78" s="79"/>
      <c r="AC78" s="79"/>
      <c r="AD78" s="15"/>
    </row>
    <row r="79" spans="1:30" x14ac:dyDescent="0.2">
      <c r="A79" s="1" t="s">
        <v>11</v>
      </c>
      <c r="B79" s="1"/>
      <c r="C79" s="8">
        <v>2486936.7411306035</v>
      </c>
      <c r="D79" s="46">
        <f t="shared" ref="D79:U79" si="43">D77+D52</f>
        <v>125508.25697306666</v>
      </c>
      <c r="E79" s="58">
        <f t="shared" si="43"/>
        <v>408536.44355226669</v>
      </c>
      <c r="F79" s="58">
        <f t="shared" si="43"/>
        <v>534044.70052533341</v>
      </c>
      <c r="G79" s="46">
        <f t="shared" si="43"/>
        <v>0</v>
      </c>
      <c r="H79" s="46">
        <f t="shared" si="43"/>
        <v>73284.829908089989</v>
      </c>
      <c r="I79" s="8">
        <f t="shared" si="43"/>
        <v>140128.77516811897</v>
      </c>
      <c r="J79" s="8">
        <f t="shared" si="43"/>
        <v>72313.335743466669</v>
      </c>
      <c r="K79" s="8">
        <f t="shared" si="43"/>
        <v>78051.798891600018</v>
      </c>
      <c r="L79" s="8">
        <f t="shared" si="43"/>
        <v>114348.09481211666</v>
      </c>
      <c r="M79" s="8">
        <f t="shared" si="43"/>
        <v>65992.49509987999</v>
      </c>
      <c r="N79" s="8">
        <f t="shared" si="43"/>
        <v>105519.03304533334</v>
      </c>
      <c r="O79" s="8">
        <f t="shared" si="43"/>
        <v>251392.06267024</v>
      </c>
      <c r="P79" s="8">
        <f t="shared" si="43"/>
        <v>289477.63793353335</v>
      </c>
      <c r="Q79" s="8">
        <f t="shared" si="43"/>
        <v>672220.33478123997</v>
      </c>
      <c r="R79" s="8">
        <f t="shared" si="43"/>
        <v>54481.869092859997</v>
      </c>
      <c r="S79" s="8">
        <f t="shared" si="43"/>
        <v>45642.170312399998</v>
      </c>
      <c r="T79" s="8">
        <f t="shared" si="43"/>
        <v>257514.74822271999</v>
      </c>
      <c r="U79" s="8">
        <f t="shared" si="43"/>
        <v>113238</v>
      </c>
      <c r="V79" s="58">
        <f>G79+H79+I79+J79+L79+M79+P79+S79+T79+U79</f>
        <v>1171940.0872003254</v>
      </c>
      <c r="W79" s="69">
        <f>W77+W52</f>
        <v>2848251.8862069319</v>
      </c>
      <c r="X79" s="46">
        <f>X52+X77</f>
        <v>361315.1447291061</v>
      </c>
      <c r="Y79" s="31"/>
      <c r="Z79" s="83">
        <f>X79/C79</f>
        <v>0.14528521725279034</v>
      </c>
      <c r="AA79" s="79"/>
      <c r="AB79" s="79"/>
      <c r="AC79" s="79"/>
      <c r="AD79" s="15"/>
    </row>
    <row r="80" spans="1:30" x14ac:dyDescent="0.2">
      <c r="A80" s="4"/>
      <c r="B80" s="4"/>
      <c r="C80" s="4"/>
      <c r="D80" s="43"/>
      <c r="E80" s="56"/>
      <c r="F80" s="57"/>
      <c r="G80" s="45"/>
      <c r="H80" s="4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7"/>
      <c r="V80" s="57"/>
      <c r="W80" s="71"/>
      <c r="X80" s="45"/>
      <c r="Y80" s="4"/>
      <c r="Z80" s="4"/>
      <c r="AD80" s="15"/>
    </row>
    <row r="81" spans="1:30" x14ac:dyDescent="0.2">
      <c r="A81" s="1" t="s">
        <v>12</v>
      </c>
      <c r="B81" s="1"/>
      <c r="C81" s="30" t="s">
        <v>20</v>
      </c>
      <c r="D81" s="47" t="s">
        <v>99</v>
      </c>
      <c r="E81" s="59" t="s">
        <v>52</v>
      </c>
      <c r="F81" s="59" t="s">
        <v>19</v>
      </c>
      <c r="G81" s="47" t="s">
        <v>49</v>
      </c>
      <c r="H81" s="47" t="s">
        <v>55</v>
      </c>
      <c r="I81" s="30" t="s">
        <v>24</v>
      </c>
      <c r="J81" s="30" t="s">
        <v>139</v>
      </c>
      <c r="K81" s="30" t="s">
        <v>223</v>
      </c>
      <c r="L81" s="30" t="s">
        <v>51</v>
      </c>
      <c r="M81" s="30" t="s">
        <v>62</v>
      </c>
      <c r="N81" s="120" t="s">
        <v>300</v>
      </c>
      <c r="O81" s="30" t="s">
        <v>220</v>
      </c>
      <c r="P81" s="30" t="s">
        <v>205</v>
      </c>
      <c r="Q81" s="30" t="s">
        <v>206</v>
      </c>
      <c r="R81" s="120" t="s">
        <v>306</v>
      </c>
      <c r="S81" s="30" t="s">
        <v>147</v>
      </c>
      <c r="T81" s="30" t="s">
        <v>110</v>
      </c>
      <c r="U81" s="30" t="s">
        <v>58</v>
      </c>
      <c r="V81" s="59" t="s">
        <v>25</v>
      </c>
      <c r="W81" s="70" t="s">
        <v>20</v>
      </c>
      <c r="X81" s="47" t="s">
        <v>60</v>
      </c>
      <c r="Y81" s="4"/>
      <c r="Z81" s="4"/>
      <c r="AD81" s="15"/>
    </row>
    <row r="82" spans="1:30" x14ac:dyDescent="0.2">
      <c r="A82" s="4" t="s">
        <v>13</v>
      </c>
      <c r="B82" s="4"/>
      <c r="C82" s="7">
        <v>180000</v>
      </c>
      <c r="D82" s="45"/>
      <c r="E82" s="57">
        <v>36000</v>
      </c>
      <c r="F82" s="57">
        <f>D82+E82</f>
        <v>36000</v>
      </c>
      <c r="G82" s="45"/>
      <c r="H82" s="4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>
        <v>144000</v>
      </c>
      <c r="V82" s="57">
        <f>G82+H82+I82+J82+K82+L82+M82+O82+P82+Q82+R82+S82+T82+U82</f>
        <v>144000</v>
      </c>
      <c r="W82" s="68">
        <f t="shared" ref="W82:W113" si="44">F82+V82</f>
        <v>180000</v>
      </c>
      <c r="X82" s="45">
        <f t="shared" ref="X82:X89" si="45">W82-C82</f>
        <v>0</v>
      </c>
      <c r="Y82" s="4"/>
      <c r="Z82" s="4" t="s">
        <v>73</v>
      </c>
      <c r="AD82" s="15"/>
    </row>
    <row r="83" spans="1:30" x14ac:dyDescent="0.2">
      <c r="A83" s="4" t="s">
        <v>42</v>
      </c>
      <c r="B83" s="4"/>
      <c r="C83" s="7">
        <v>12000</v>
      </c>
      <c r="D83" s="45"/>
      <c r="E83" s="57">
        <v>12000</v>
      </c>
      <c r="F83" s="57">
        <f t="shared" ref="F83:F113" si="46">D83+E83</f>
        <v>12000</v>
      </c>
      <c r="G83" s="45"/>
      <c r="H83" s="4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57">
        <f t="shared" ref="V83:V113" si="47">G83+H83+I83+J83+K83+L83+M83+O83+P83+Q83+R83+S83+T83+U83</f>
        <v>0</v>
      </c>
      <c r="W83" s="68">
        <f t="shared" si="44"/>
        <v>12000</v>
      </c>
      <c r="X83" s="45">
        <f t="shared" si="45"/>
        <v>0</v>
      </c>
      <c r="Y83" s="4"/>
      <c r="Z83" s="4" t="s">
        <v>104</v>
      </c>
      <c r="AD83" s="15"/>
    </row>
    <row r="84" spans="1:30" x14ac:dyDescent="0.2">
      <c r="A84" s="4" t="s">
        <v>68</v>
      </c>
      <c r="B84" s="4"/>
      <c r="C84" s="7">
        <v>36000</v>
      </c>
      <c r="D84" s="45"/>
      <c r="E84" s="57">
        <v>2000</v>
      </c>
      <c r="F84" s="57">
        <f t="shared" si="46"/>
        <v>2000</v>
      </c>
      <c r="G84" s="45"/>
      <c r="H84" s="4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38">
        <v>36000</v>
      </c>
      <c r="V84" s="57">
        <f t="shared" si="47"/>
        <v>36000</v>
      </c>
      <c r="W84" s="68">
        <f t="shared" si="44"/>
        <v>38000</v>
      </c>
      <c r="X84" s="45">
        <f t="shared" si="45"/>
        <v>2000</v>
      </c>
      <c r="Y84" s="4"/>
      <c r="Z84" s="4" t="s">
        <v>191</v>
      </c>
      <c r="AD84" s="15"/>
    </row>
    <row r="85" spans="1:30" x14ac:dyDescent="0.2">
      <c r="A85" s="4" t="s">
        <v>43</v>
      </c>
      <c r="B85" s="4"/>
      <c r="C85" s="7">
        <v>108000</v>
      </c>
      <c r="D85" s="45"/>
      <c r="E85" s="57">
        <v>48000</v>
      </c>
      <c r="F85" s="57">
        <f t="shared" si="46"/>
        <v>48000</v>
      </c>
      <c r="G85" s="45"/>
      <c r="H85" s="4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>
        <v>72000</v>
      </c>
      <c r="V85" s="57">
        <f t="shared" si="47"/>
        <v>72000</v>
      </c>
      <c r="W85" s="68">
        <f t="shared" si="44"/>
        <v>120000</v>
      </c>
      <c r="X85" s="45">
        <f t="shared" si="45"/>
        <v>12000</v>
      </c>
      <c r="Y85" s="4"/>
      <c r="Z85" s="4" t="s">
        <v>105</v>
      </c>
      <c r="AD85" s="15"/>
    </row>
    <row r="86" spans="1:30" x14ac:dyDescent="0.2">
      <c r="A86" s="4" t="s">
        <v>44</v>
      </c>
      <c r="B86" s="4"/>
      <c r="C86" s="7">
        <v>12000</v>
      </c>
      <c r="D86" s="45"/>
      <c r="E86" s="57">
        <v>6000</v>
      </c>
      <c r="F86" s="57">
        <f t="shared" si="46"/>
        <v>6000</v>
      </c>
      <c r="G86" s="45"/>
      <c r="H86" s="4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6000</v>
      </c>
      <c r="V86" s="57">
        <f t="shared" si="47"/>
        <v>6000</v>
      </c>
      <c r="W86" s="68">
        <f t="shared" si="44"/>
        <v>12000</v>
      </c>
      <c r="X86" s="45">
        <f t="shared" si="45"/>
        <v>0</v>
      </c>
      <c r="Y86" s="4"/>
      <c r="Z86" s="4" t="s">
        <v>186</v>
      </c>
      <c r="AD86" s="15"/>
    </row>
    <row r="87" spans="1:30" x14ac:dyDescent="0.2">
      <c r="A87" s="4" t="s">
        <v>57</v>
      </c>
      <c r="B87" s="4"/>
      <c r="C87" s="7">
        <v>50000</v>
      </c>
      <c r="D87" s="45"/>
      <c r="E87" s="57"/>
      <c r="F87" s="57">
        <f t="shared" si="46"/>
        <v>0</v>
      </c>
      <c r="G87" s="45"/>
      <c r="H87" s="45"/>
      <c r="I87" s="7"/>
      <c r="J87" s="7"/>
      <c r="K87" s="7"/>
      <c r="L87" s="7">
        <v>66600</v>
      </c>
      <c r="M87" s="7"/>
      <c r="N87" s="7"/>
      <c r="O87" s="7"/>
      <c r="P87" s="7"/>
      <c r="Q87" s="7"/>
      <c r="R87" s="7"/>
      <c r="S87" s="7"/>
      <c r="T87" s="7"/>
      <c r="U87" s="7"/>
      <c r="V87" s="57">
        <f t="shared" si="47"/>
        <v>66600</v>
      </c>
      <c r="W87" s="68">
        <f t="shared" si="44"/>
        <v>66600</v>
      </c>
      <c r="X87" s="45">
        <f t="shared" si="45"/>
        <v>16600</v>
      </c>
      <c r="Y87" s="4"/>
      <c r="Z87" s="4" t="s">
        <v>74</v>
      </c>
      <c r="AD87" s="15"/>
    </row>
    <row r="88" spans="1:30" x14ac:dyDescent="0.2">
      <c r="A88" s="4" t="s">
        <v>64</v>
      </c>
      <c r="B88" s="4"/>
      <c r="C88" s="7">
        <v>80000</v>
      </c>
      <c r="D88" s="45"/>
      <c r="E88" s="57"/>
      <c r="F88" s="57">
        <f t="shared" si="46"/>
        <v>0</v>
      </c>
      <c r="G88" s="45"/>
      <c r="H88" s="45"/>
      <c r="I88" s="7"/>
      <c r="J88" s="7"/>
      <c r="K88" s="7"/>
      <c r="L88" s="7">
        <v>66600</v>
      </c>
      <c r="M88" s="7"/>
      <c r="N88" s="7"/>
      <c r="O88" s="7"/>
      <c r="P88" s="7"/>
      <c r="Q88" s="7"/>
      <c r="R88" s="7"/>
      <c r="S88" s="7">
        <v>20000</v>
      </c>
      <c r="T88" s="7">
        <v>15000</v>
      </c>
      <c r="U88" s="7"/>
      <c r="V88" s="57">
        <f t="shared" si="47"/>
        <v>101600</v>
      </c>
      <c r="W88" s="68">
        <f t="shared" si="44"/>
        <v>101600</v>
      </c>
      <c r="X88" s="45">
        <f t="shared" si="45"/>
        <v>21600</v>
      </c>
      <c r="Y88" s="4"/>
      <c r="Z88" s="4" t="s">
        <v>74</v>
      </c>
      <c r="AD88" s="15"/>
    </row>
    <row r="89" spans="1:30" x14ac:dyDescent="0.2">
      <c r="A89" s="4" t="s">
        <v>63</v>
      </c>
      <c r="B89" s="4"/>
      <c r="C89" s="7">
        <v>50000</v>
      </c>
      <c r="D89" s="45"/>
      <c r="E89" s="57"/>
      <c r="F89" s="57">
        <f t="shared" si="46"/>
        <v>0</v>
      </c>
      <c r="G89" s="45"/>
      <c r="H89" s="45"/>
      <c r="I89" s="7"/>
      <c r="J89" s="7"/>
      <c r="K89" s="7"/>
      <c r="L89" s="7"/>
      <c r="M89" s="7">
        <v>66600</v>
      </c>
      <c r="N89" s="7">
        <v>85000</v>
      </c>
      <c r="O89" s="7"/>
      <c r="P89" s="7"/>
      <c r="Q89" s="7"/>
      <c r="R89" s="7"/>
      <c r="S89" s="7"/>
      <c r="T89" s="7"/>
      <c r="U89" s="7"/>
      <c r="V89" s="57">
        <f t="shared" si="47"/>
        <v>66600</v>
      </c>
      <c r="W89" s="68">
        <f t="shared" si="44"/>
        <v>66600</v>
      </c>
      <c r="X89" s="45">
        <f t="shared" si="45"/>
        <v>16600</v>
      </c>
      <c r="Y89" s="4"/>
      <c r="Z89" s="4" t="s">
        <v>74</v>
      </c>
      <c r="AD89" s="15"/>
    </row>
    <row r="90" spans="1:30" x14ac:dyDescent="0.2">
      <c r="A90" s="4" t="s">
        <v>222</v>
      </c>
      <c r="B90" s="4"/>
      <c r="C90" s="7">
        <v>119000</v>
      </c>
      <c r="D90" s="45"/>
      <c r="E90" s="57"/>
      <c r="F90" s="57">
        <f t="shared" si="46"/>
        <v>0</v>
      </c>
      <c r="G90" s="45"/>
      <c r="H90" s="45"/>
      <c r="I90" s="7"/>
      <c r="J90" s="7"/>
      <c r="K90" s="7"/>
      <c r="L90" s="7"/>
      <c r="M90" s="7"/>
      <c r="N90" s="7"/>
      <c r="O90" s="7">
        <f>44000*3+(17000*6)</f>
        <v>234000</v>
      </c>
      <c r="P90" s="7"/>
      <c r="Q90" s="7"/>
      <c r="R90" s="7"/>
      <c r="S90" s="7"/>
      <c r="T90" s="7"/>
      <c r="U90" s="7"/>
      <c r="V90" s="57">
        <f t="shared" si="47"/>
        <v>234000</v>
      </c>
      <c r="W90" s="68">
        <f t="shared" si="44"/>
        <v>234000</v>
      </c>
      <c r="X90" s="45"/>
      <c r="Y90" s="4"/>
      <c r="Z90" s="4"/>
      <c r="AD90" s="15"/>
    </row>
    <row r="91" spans="1:30" x14ac:dyDescent="0.2">
      <c r="A91" s="4" t="s">
        <v>99</v>
      </c>
      <c r="B91" s="4"/>
      <c r="C91" s="7">
        <v>154112</v>
      </c>
      <c r="D91" s="45">
        <v>136000</v>
      </c>
      <c r="E91" s="57"/>
      <c r="F91" s="57">
        <f t="shared" si="46"/>
        <v>136000</v>
      </c>
      <c r="G91" s="45"/>
      <c r="H91" s="4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57">
        <f t="shared" si="47"/>
        <v>0</v>
      </c>
      <c r="W91" s="68">
        <f t="shared" si="44"/>
        <v>136000</v>
      </c>
      <c r="X91" s="45">
        <f t="shared" ref="X91:X97" si="48">W91-C91</f>
        <v>-18112</v>
      </c>
      <c r="Y91" s="4"/>
      <c r="Z91" s="4" t="s">
        <v>114</v>
      </c>
      <c r="AD91" s="15"/>
    </row>
    <row r="92" spans="1:30" x14ac:dyDescent="0.2">
      <c r="A92" s="4" t="s">
        <v>45</v>
      </c>
      <c r="B92" s="4"/>
      <c r="C92" s="7">
        <v>5000</v>
      </c>
      <c r="D92" s="45"/>
      <c r="E92" s="57">
        <v>6000</v>
      </c>
      <c r="F92" s="57">
        <f t="shared" si="46"/>
        <v>6000</v>
      </c>
      <c r="G92" s="45"/>
      <c r="H92" s="4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57">
        <f t="shared" si="47"/>
        <v>0</v>
      </c>
      <c r="W92" s="68">
        <f t="shared" si="44"/>
        <v>6000</v>
      </c>
      <c r="X92" s="45">
        <f t="shared" si="48"/>
        <v>1000</v>
      </c>
      <c r="Y92" s="4"/>
      <c r="Z92" s="4" t="s">
        <v>74</v>
      </c>
      <c r="AD92" s="15"/>
    </row>
    <row r="93" spans="1:30" x14ac:dyDescent="0.2">
      <c r="A93" s="4" t="s">
        <v>61</v>
      </c>
      <c r="B93" s="4"/>
      <c r="C93" s="7">
        <v>20000</v>
      </c>
      <c r="D93" s="45"/>
      <c r="E93" s="57">
        <v>20000</v>
      </c>
      <c r="F93" s="57">
        <f t="shared" si="46"/>
        <v>20000</v>
      </c>
      <c r="G93" s="45"/>
      <c r="H93" s="4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57">
        <f t="shared" si="47"/>
        <v>0</v>
      </c>
      <c r="W93" s="68">
        <f t="shared" si="44"/>
        <v>20000</v>
      </c>
      <c r="X93" s="45">
        <f t="shared" si="48"/>
        <v>0</v>
      </c>
      <c r="Y93" s="4"/>
      <c r="Z93" s="4" t="s">
        <v>75</v>
      </c>
      <c r="AD93" s="15"/>
    </row>
    <row r="94" spans="1:30" x14ac:dyDescent="0.2">
      <c r="A94" s="4" t="s">
        <v>116</v>
      </c>
      <c r="B94" s="4"/>
      <c r="C94" s="7">
        <v>19600</v>
      </c>
      <c r="D94" s="45"/>
      <c r="E94" s="57">
        <v>10000</v>
      </c>
      <c r="F94" s="57">
        <f t="shared" si="46"/>
        <v>10000</v>
      </c>
      <c r="G94" s="45"/>
      <c r="H94" s="4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9000</v>
      </c>
      <c r="V94" s="57">
        <f t="shared" si="47"/>
        <v>9000</v>
      </c>
      <c r="W94" s="68">
        <f t="shared" si="44"/>
        <v>19000</v>
      </c>
      <c r="X94" s="45">
        <f t="shared" si="48"/>
        <v>-600</v>
      </c>
      <c r="Y94" s="4"/>
      <c r="Z94" s="4" t="s">
        <v>115</v>
      </c>
      <c r="AD94" s="15"/>
    </row>
    <row r="95" spans="1:30" x14ac:dyDescent="0.2">
      <c r="A95" s="4" t="s">
        <v>131</v>
      </c>
      <c r="B95" s="4"/>
      <c r="C95" s="7">
        <v>31972</v>
      </c>
      <c r="D95" s="45"/>
      <c r="E95" s="57"/>
      <c r="F95" s="57">
        <f t="shared" si="46"/>
        <v>0</v>
      </c>
      <c r="G95" s="45"/>
      <c r="H95" s="45"/>
      <c r="I95" s="7"/>
      <c r="J95" s="7"/>
      <c r="K95" s="7"/>
      <c r="L95" s="7"/>
      <c r="M95" s="7">
        <v>16000</v>
      </c>
      <c r="N95" s="7"/>
      <c r="O95" s="7"/>
      <c r="P95" s="7"/>
      <c r="Q95" s="7"/>
      <c r="R95" s="7"/>
      <c r="S95" s="7"/>
      <c r="T95" s="7"/>
      <c r="U95" s="7">
        <v>5000</v>
      </c>
      <c r="V95" s="57">
        <f t="shared" si="47"/>
        <v>21000</v>
      </c>
      <c r="W95" s="68">
        <f t="shared" si="44"/>
        <v>21000</v>
      </c>
      <c r="X95" s="45">
        <f t="shared" si="48"/>
        <v>-10972</v>
      </c>
      <c r="Y95" s="4"/>
      <c r="Z95" s="4"/>
      <c r="AD95" s="15"/>
    </row>
    <row r="96" spans="1:30" x14ac:dyDescent="0.2">
      <c r="A96" s="4" t="s">
        <v>127</v>
      </c>
      <c r="B96" s="4"/>
      <c r="C96" s="7">
        <v>110000</v>
      </c>
      <c r="D96" s="45"/>
      <c r="E96" s="57"/>
      <c r="F96" s="57">
        <f t="shared" si="46"/>
        <v>0</v>
      </c>
      <c r="G96" s="45"/>
      <c r="H96" s="4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57">
        <f t="shared" si="47"/>
        <v>0</v>
      </c>
      <c r="W96" s="68">
        <f t="shared" si="44"/>
        <v>0</v>
      </c>
      <c r="X96" s="45">
        <f t="shared" si="48"/>
        <v>-110000</v>
      </c>
      <c r="Y96" s="4"/>
      <c r="Z96" s="4" t="s">
        <v>123</v>
      </c>
      <c r="AD96" s="15"/>
    </row>
    <row r="97" spans="1:30" x14ac:dyDescent="0.2">
      <c r="A97" s="121" t="s">
        <v>221</v>
      </c>
      <c r="B97" s="4"/>
      <c r="C97" s="7">
        <v>10000</v>
      </c>
      <c r="D97" s="45"/>
      <c r="E97" s="57"/>
      <c r="F97" s="57">
        <f t="shared" si="46"/>
        <v>0</v>
      </c>
      <c r="G97" s="45"/>
      <c r="H97" s="4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v>20000</v>
      </c>
      <c r="U97" s="7"/>
      <c r="V97" s="57">
        <f t="shared" si="47"/>
        <v>20000</v>
      </c>
      <c r="W97" s="68">
        <f t="shared" si="44"/>
        <v>20000</v>
      </c>
      <c r="X97" s="45">
        <f t="shared" si="48"/>
        <v>10000</v>
      </c>
      <c r="Y97" s="4"/>
      <c r="Z97" s="4"/>
      <c r="AD97" s="15"/>
    </row>
    <row r="98" spans="1:30" x14ac:dyDescent="0.2">
      <c r="A98" s="4" t="s">
        <v>225</v>
      </c>
      <c r="B98" s="4"/>
      <c r="C98" s="7">
        <v>70667</v>
      </c>
      <c r="D98" s="45"/>
      <c r="E98" s="57"/>
      <c r="F98" s="57">
        <f t="shared" si="46"/>
        <v>0</v>
      </c>
      <c r="G98" s="45"/>
      <c r="H98" s="4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>159000-6500-3260</f>
        <v>149240</v>
      </c>
      <c r="U98" s="7"/>
      <c r="V98" s="57">
        <f t="shared" si="47"/>
        <v>149240</v>
      </c>
      <c r="W98" s="68">
        <f t="shared" si="44"/>
        <v>149240</v>
      </c>
      <c r="X98" s="45"/>
      <c r="Y98" s="4"/>
      <c r="Z98" s="4"/>
      <c r="AD98" s="15"/>
    </row>
    <row r="99" spans="1:30" x14ac:dyDescent="0.2">
      <c r="A99" s="4" t="s">
        <v>304</v>
      </c>
      <c r="B99" s="4"/>
      <c r="C99" s="7"/>
      <c r="D99" s="45"/>
      <c r="E99" s="57"/>
      <c r="F99" s="57"/>
      <c r="G99" s="45"/>
      <c r="H99" s="45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v>17687</v>
      </c>
      <c r="T99" s="7"/>
      <c r="U99" s="7"/>
      <c r="V99" s="57">
        <f t="shared" si="47"/>
        <v>17687</v>
      </c>
      <c r="W99" s="68">
        <f t="shared" si="44"/>
        <v>17687</v>
      </c>
      <c r="X99" s="45"/>
      <c r="Y99" s="4"/>
      <c r="Z99" s="4"/>
      <c r="AD99" s="15"/>
    </row>
    <row r="100" spans="1:30" x14ac:dyDescent="0.2">
      <c r="A100" s="4" t="s">
        <v>130</v>
      </c>
      <c r="B100" s="4"/>
      <c r="C100" s="7">
        <v>961100.00000000012</v>
      </c>
      <c r="D100" s="45"/>
      <c r="E100" s="57"/>
      <c r="F100" s="57">
        <f t="shared" si="46"/>
        <v>0</v>
      </c>
      <c r="G100" s="45"/>
      <c r="H100" s="45"/>
      <c r="I100" s="7"/>
      <c r="J100" s="7"/>
      <c r="K100" s="7"/>
      <c r="L100" s="7"/>
      <c r="M100" s="7"/>
      <c r="N100" s="7"/>
      <c r="O100" s="7"/>
      <c r="P100" s="7">
        <v>238000</v>
      </c>
      <c r="Q100" s="7"/>
      <c r="R100" s="7"/>
      <c r="S100" s="7"/>
      <c r="T100" s="7"/>
      <c r="U100" s="7"/>
      <c r="V100" s="57">
        <f t="shared" si="47"/>
        <v>238000</v>
      </c>
      <c r="W100" s="68">
        <f t="shared" si="44"/>
        <v>238000</v>
      </c>
      <c r="X100" s="45">
        <f>W100-C100</f>
        <v>-723100.00000000012</v>
      </c>
      <c r="Y100" s="4"/>
      <c r="Z100" s="4"/>
      <c r="AD100" s="15"/>
    </row>
    <row r="101" spans="1:30" x14ac:dyDescent="0.2">
      <c r="A101" s="4" t="s">
        <v>311</v>
      </c>
      <c r="B101" s="4"/>
      <c r="C101" s="7">
        <v>320182.49785873265</v>
      </c>
      <c r="D101" s="45"/>
      <c r="E101" s="57"/>
      <c r="F101" s="57">
        <f t="shared" si="46"/>
        <v>0</v>
      </c>
      <c r="G101" s="45"/>
      <c r="H101" s="45"/>
      <c r="I101" s="7"/>
      <c r="J101" s="7"/>
      <c r="K101" s="7"/>
      <c r="L101" s="7"/>
      <c r="M101" s="7"/>
      <c r="N101" s="7"/>
      <c r="O101" s="7"/>
      <c r="P101" s="7"/>
      <c r="Q101" s="7">
        <v>758000</v>
      </c>
      <c r="R101" s="7"/>
      <c r="S101" s="7"/>
      <c r="T101" s="7"/>
      <c r="U101" s="7"/>
      <c r="V101" s="57">
        <f t="shared" si="47"/>
        <v>758000</v>
      </c>
      <c r="W101" s="68">
        <f t="shared" si="44"/>
        <v>758000</v>
      </c>
      <c r="X101" s="45"/>
      <c r="Y101" s="4"/>
      <c r="Z101" s="4"/>
      <c r="AD101" s="15"/>
    </row>
    <row r="102" spans="1:30" x14ac:dyDescent="0.2">
      <c r="A102" s="4" t="s">
        <v>226</v>
      </c>
      <c r="B102" s="4"/>
      <c r="C102" s="7">
        <v>25000</v>
      </c>
      <c r="D102" s="45"/>
      <c r="E102" s="57"/>
      <c r="F102" s="57">
        <f t="shared" si="46"/>
        <v>0</v>
      </c>
      <c r="G102" s="45"/>
      <c r="H102" s="45"/>
      <c r="I102" s="7"/>
      <c r="J102" s="7"/>
      <c r="K102" s="7"/>
      <c r="L102" s="7"/>
      <c r="M102" s="7"/>
      <c r="N102" s="7"/>
      <c r="O102" s="7"/>
      <c r="P102" s="7">
        <v>25000</v>
      </c>
      <c r="Q102" s="7"/>
      <c r="R102" s="7"/>
      <c r="S102" s="7"/>
      <c r="T102" s="7"/>
      <c r="U102" s="7"/>
      <c r="V102" s="57">
        <f t="shared" si="47"/>
        <v>25000</v>
      </c>
      <c r="W102" s="68">
        <f t="shared" si="44"/>
        <v>25000</v>
      </c>
      <c r="X102" s="45"/>
      <c r="Y102" s="4"/>
      <c r="Z102" s="4"/>
      <c r="AD102" s="15"/>
    </row>
    <row r="103" spans="1:30" x14ac:dyDescent="0.2">
      <c r="A103" s="121" t="s">
        <v>303</v>
      </c>
      <c r="B103" s="4"/>
      <c r="C103" s="7">
        <v>50000</v>
      </c>
      <c r="D103" s="45"/>
      <c r="E103" s="57"/>
      <c r="F103" s="57"/>
      <c r="G103" s="45"/>
      <c r="H103" s="45"/>
      <c r="I103" s="7"/>
      <c r="J103" s="7"/>
      <c r="K103" s="7"/>
      <c r="L103" s="7"/>
      <c r="M103" s="7"/>
      <c r="N103" s="7"/>
      <c r="O103" s="7"/>
      <c r="P103" s="7"/>
      <c r="Q103" s="7"/>
      <c r="R103" s="7">
        <v>50000</v>
      </c>
      <c r="S103" s="7"/>
      <c r="T103" s="7"/>
      <c r="U103" s="7"/>
      <c r="V103" s="57">
        <f t="shared" si="47"/>
        <v>50000</v>
      </c>
      <c r="W103" s="68">
        <f t="shared" si="44"/>
        <v>50000</v>
      </c>
      <c r="X103" s="45"/>
      <c r="Y103" s="4"/>
      <c r="Z103" s="4"/>
      <c r="AD103" s="15"/>
    </row>
    <row r="104" spans="1:30" x14ac:dyDescent="0.2">
      <c r="A104" s="4" t="s">
        <v>96</v>
      </c>
      <c r="B104" s="4"/>
      <c r="C104" s="7">
        <v>15000</v>
      </c>
      <c r="D104" s="45"/>
      <c r="E104" s="57">
        <v>18000</v>
      </c>
      <c r="F104" s="57">
        <f t="shared" si="46"/>
        <v>18000</v>
      </c>
      <c r="G104" s="45"/>
      <c r="H104" s="4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57">
        <f t="shared" si="47"/>
        <v>0</v>
      </c>
      <c r="W104" s="68">
        <f t="shared" si="44"/>
        <v>18000</v>
      </c>
      <c r="X104" s="45">
        <f t="shared" ref="X104:X111" si="49">W104-C104</f>
        <v>3000</v>
      </c>
      <c r="Y104" s="4"/>
      <c r="Z104" s="4" t="s">
        <v>124</v>
      </c>
      <c r="AD104" s="15"/>
    </row>
    <row r="105" spans="1:30" x14ac:dyDescent="0.2">
      <c r="A105" s="4" t="s">
        <v>46</v>
      </c>
      <c r="B105" s="4"/>
      <c r="C105" s="7">
        <v>7500</v>
      </c>
      <c r="D105" s="45"/>
      <c r="E105" s="57">
        <v>9000</v>
      </c>
      <c r="F105" s="57">
        <f t="shared" si="46"/>
        <v>9000</v>
      </c>
      <c r="G105" s="45"/>
      <c r="H105" s="45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57">
        <f t="shared" si="47"/>
        <v>0</v>
      </c>
      <c r="W105" s="68">
        <f t="shared" si="44"/>
        <v>9000</v>
      </c>
      <c r="X105" s="45">
        <f t="shared" si="49"/>
        <v>1500</v>
      </c>
      <c r="Y105" s="4"/>
      <c r="Z105" s="4" t="s">
        <v>125</v>
      </c>
      <c r="AD105" s="15"/>
    </row>
    <row r="106" spans="1:30" x14ac:dyDescent="0.2">
      <c r="A106" s="4" t="s">
        <v>41</v>
      </c>
      <c r="B106" s="4"/>
      <c r="C106" s="7">
        <v>17400</v>
      </c>
      <c r="D106" s="45"/>
      <c r="E106" s="57">
        <v>3600</v>
      </c>
      <c r="F106" s="57">
        <f t="shared" si="46"/>
        <v>3600</v>
      </c>
      <c r="G106" s="45"/>
      <c r="H106" s="45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>
        <v>15000</v>
      </c>
      <c r="V106" s="57">
        <f t="shared" si="47"/>
        <v>15000</v>
      </c>
      <c r="W106" s="68">
        <f t="shared" si="44"/>
        <v>18600</v>
      </c>
      <c r="X106" s="45">
        <f t="shared" si="49"/>
        <v>1200</v>
      </c>
      <c r="Y106" s="4"/>
      <c r="Z106" s="4" t="s">
        <v>106</v>
      </c>
      <c r="AD106" s="15"/>
    </row>
    <row r="107" spans="1:30" x14ac:dyDescent="0.2">
      <c r="A107" s="4" t="s">
        <v>47</v>
      </c>
      <c r="B107" s="4"/>
      <c r="C107" s="7">
        <v>0</v>
      </c>
      <c r="D107" s="45"/>
      <c r="E107" s="57"/>
      <c r="F107" s="57">
        <f t="shared" si="46"/>
        <v>0</v>
      </c>
      <c r="G107" s="45"/>
      <c r="H107" s="45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57">
        <f t="shared" si="47"/>
        <v>0</v>
      </c>
      <c r="W107" s="68">
        <f t="shared" si="44"/>
        <v>0</v>
      </c>
      <c r="X107" s="45">
        <f t="shared" si="49"/>
        <v>0</v>
      </c>
      <c r="Y107" s="4"/>
      <c r="Z107" s="4" t="s">
        <v>76</v>
      </c>
      <c r="AD107" s="15"/>
    </row>
    <row r="108" spans="1:30" x14ac:dyDescent="0.2">
      <c r="A108" s="4" t="s">
        <v>91</v>
      </c>
      <c r="B108" s="4"/>
      <c r="C108" s="7">
        <v>27000</v>
      </c>
      <c r="D108" s="45"/>
      <c r="E108" s="130">
        <v>9000</v>
      </c>
      <c r="F108" s="57">
        <f t="shared" si="46"/>
        <v>9000</v>
      </c>
      <c r="G108" s="45"/>
      <c r="H108" s="45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8"/>
      <c r="T108" s="7"/>
      <c r="U108" s="33">
        <v>18000</v>
      </c>
      <c r="V108" s="57">
        <f t="shared" si="47"/>
        <v>18000</v>
      </c>
      <c r="W108" s="68">
        <f t="shared" si="44"/>
        <v>27000</v>
      </c>
      <c r="X108" s="45">
        <f t="shared" si="49"/>
        <v>0</v>
      </c>
      <c r="Y108" s="4"/>
      <c r="Z108" s="4" t="s">
        <v>107</v>
      </c>
      <c r="AD108" s="15"/>
    </row>
    <row r="109" spans="1:30" x14ac:dyDescent="0.2">
      <c r="A109" s="4" t="s">
        <v>92</v>
      </c>
      <c r="B109" s="4"/>
      <c r="C109" s="7">
        <v>30000</v>
      </c>
      <c r="D109" s="45"/>
      <c r="E109" s="131"/>
      <c r="F109" s="57">
        <f t="shared" si="46"/>
        <v>0</v>
      </c>
      <c r="G109" s="45"/>
      <c r="H109" s="4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8"/>
      <c r="T109" s="7">
        <v>12000</v>
      </c>
      <c r="U109" s="8"/>
      <c r="V109" s="57">
        <f t="shared" si="47"/>
        <v>12000</v>
      </c>
      <c r="W109" s="68">
        <f t="shared" si="44"/>
        <v>12000</v>
      </c>
      <c r="X109" s="45">
        <f t="shared" si="49"/>
        <v>-18000</v>
      </c>
      <c r="Y109" s="4"/>
      <c r="Z109" s="4" t="s">
        <v>193</v>
      </c>
      <c r="AD109" s="15"/>
    </row>
    <row r="110" spans="1:30" x14ac:dyDescent="0.2">
      <c r="A110" s="4" t="s">
        <v>93</v>
      </c>
      <c r="B110" s="4"/>
      <c r="C110" s="7">
        <v>12000</v>
      </c>
      <c r="D110" s="45"/>
      <c r="E110" s="130">
        <v>12000</v>
      </c>
      <c r="F110" s="57">
        <f t="shared" si="46"/>
        <v>12000</v>
      </c>
      <c r="G110" s="45"/>
      <c r="H110" s="45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/>
      <c r="T110" s="7"/>
      <c r="U110" s="7">
        <v>20000</v>
      </c>
      <c r="V110" s="57">
        <f t="shared" si="47"/>
        <v>20000</v>
      </c>
      <c r="W110" s="68">
        <f t="shared" si="44"/>
        <v>32000</v>
      </c>
      <c r="X110" s="45">
        <f t="shared" si="49"/>
        <v>20000</v>
      </c>
      <c r="Y110" s="4"/>
      <c r="Z110" s="4" t="s">
        <v>97</v>
      </c>
      <c r="AD110" s="15"/>
    </row>
    <row r="111" spans="1:30" x14ac:dyDescent="0.2">
      <c r="A111" s="4" t="s">
        <v>132</v>
      </c>
      <c r="B111" s="4"/>
      <c r="C111" s="7">
        <v>0</v>
      </c>
      <c r="D111" s="45"/>
      <c r="E111" s="131"/>
      <c r="F111" s="57">
        <f t="shared" si="46"/>
        <v>0</v>
      </c>
      <c r="G111" s="45"/>
      <c r="H111" s="4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57">
        <f t="shared" si="47"/>
        <v>0</v>
      </c>
      <c r="W111" s="68">
        <f t="shared" si="44"/>
        <v>0</v>
      </c>
      <c r="X111" s="45">
        <f t="shared" si="49"/>
        <v>0</v>
      </c>
      <c r="Y111" s="4"/>
      <c r="Z111" s="4" t="s">
        <v>98</v>
      </c>
      <c r="AD111" s="15"/>
    </row>
    <row r="112" spans="1:30" x14ac:dyDescent="0.2">
      <c r="A112" s="4" t="s">
        <v>100</v>
      </c>
      <c r="B112" s="4"/>
      <c r="C112" s="7">
        <v>20400</v>
      </c>
      <c r="D112" s="45"/>
      <c r="E112" s="131">
        <v>20400</v>
      </c>
      <c r="F112" s="57">
        <f t="shared" si="46"/>
        <v>20400</v>
      </c>
      <c r="G112" s="45"/>
      <c r="H112" s="45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57">
        <f t="shared" si="47"/>
        <v>0</v>
      </c>
      <c r="W112" s="68">
        <f t="shared" si="44"/>
        <v>20400</v>
      </c>
      <c r="X112" s="45"/>
      <c r="Y112" s="4"/>
      <c r="Z112" s="4"/>
      <c r="AD112" s="15"/>
    </row>
    <row r="113" spans="1:30" x14ac:dyDescent="0.2">
      <c r="A113" s="4" t="s">
        <v>33</v>
      </c>
      <c r="B113" s="4"/>
      <c r="C113" s="7">
        <v>180</v>
      </c>
      <c r="D113" s="45"/>
      <c r="E113" s="57"/>
      <c r="F113" s="57">
        <f t="shared" si="46"/>
        <v>0</v>
      </c>
      <c r="G113" s="7"/>
      <c r="H113" s="4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>
        <v>180</v>
      </c>
      <c r="V113" s="57">
        <f t="shared" si="47"/>
        <v>180</v>
      </c>
      <c r="W113" s="68">
        <f t="shared" si="44"/>
        <v>180</v>
      </c>
      <c r="X113" s="7">
        <f>W113-C113</f>
        <v>0</v>
      </c>
      <c r="Y113" s="4"/>
      <c r="Z113" s="4"/>
      <c r="AD113" s="15"/>
    </row>
    <row r="114" spans="1:30" x14ac:dyDescent="0.2">
      <c r="A114" s="80" t="s">
        <v>14</v>
      </c>
      <c r="B114" s="80"/>
      <c r="C114" s="8">
        <v>2509113.4978587325</v>
      </c>
      <c r="D114" s="46">
        <f t="shared" ref="D114:X114" si="50">SUM(D82:D113)</f>
        <v>136000</v>
      </c>
      <c r="E114" s="58">
        <f t="shared" si="50"/>
        <v>212000</v>
      </c>
      <c r="F114" s="58">
        <f t="shared" si="50"/>
        <v>348000</v>
      </c>
      <c r="G114" s="8">
        <f t="shared" si="50"/>
        <v>0</v>
      </c>
      <c r="H114" s="46">
        <f t="shared" si="50"/>
        <v>0</v>
      </c>
      <c r="I114" s="8">
        <f t="shared" si="50"/>
        <v>0</v>
      </c>
      <c r="J114" s="8">
        <f t="shared" si="50"/>
        <v>0</v>
      </c>
      <c r="K114" s="8">
        <f t="shared" si="50"/>
        <v>0</v>
      </c>
      <c r="L114" s="8">
        <f t="shared" si="50"/>
        <v>133200</v>
      </c>
      <c r="M114" s="8">
        <f t="shared" si="50"/>
        <v>82600</v>
      </c>
      <c r="N114" s="8">
        <f t="shared" si="50"/>
        <v>85000</v>
      </c>
      <c r="O114" s="8">
        <f t="shared" si="50"/>
        <v>234000</v>
      </c>
      <c r="P114" s="8">
        <f t="shared" si="50"/>
        <v>263000</v>
      </c>
      <c r="Q114" s="8">
        <f t="shared" si="50"/>
        <v>758000</v>
      </c>
      <c r="R114" s="8">
        <f t="shared" si="50"/>
        <v>50000</v>
      </c>
      <c r="S114" s="8">
        <f t="shared" si="50"/>
        <v>37687</v>
      </c>
      <c r="T114" s="8">
        <f t="shared" si="50"/>
        <v>196240</v>
      </c>
      <c r="U114" s="8">
        <f t="shared" si="50"/>
        <v>325180</v>
      </c>
      <c r="V114" s="58">
        <f t="shared" si="50"/>
        <v>2079907</v>
      </c>
      <c r="W114" s="90">
        <f t="shared" si="50"/>
        <v>2427907</v>
      </c>
      <c r="X114" s="8">
        <f t="shared" si="50"/>
        <v>-775284.00000000012</v>
      </c>
      <c r="Y114" s="4"/>
      <c r="Z114" s="72">
        <f>X114/C114</f>
        <v>-0.30898721825920766</v>
      </c>
      <c r="AD114" s="15"/>
    </row>
    <row r="115" spans="1:30" x14ac:dyDescent="0.2">
      <c r="A115" s="1" t="s">
        <v>15</v>
      </c>
      <c r="B115" s="1"/>
      <c r="C115" s="8">
        <v>22176.756728128996</v>
      </c>
      <c r="D115" s="46">
        <f t="shared" ref="D115:U115" si="51">D114-D79</f>
        <v>10491.743026933342</v>
      </c>
      <c r="E115" s="46">
        <f t="shared" si="51"/>
        <v>-196536.44355226669</v>
      </c>
      <c r="F115" s="58">
        <f t="shared" si="51"/>
        <v>-186044.70052533341</v>
      </c>
      <c r="G115" s="8">
        <f t="shared" si="51"/>
        <v>0</v>
      </c>
      <c r="H115" s="46">
        <f t="shared" si="51"/>
        <v>-73284.829908089989</v>
      </c>
      <c r="I115" s="8">
        <f t="shared" si="51"/>
        <v>-140128.77516811897</v>
      </c>
      <c r="J115" s="8">
        <f t="shared" si="51"/>
        <v>-72313.335743466669</v>
      </c>
      <c r="K115" s="8">
        <f t="shared" si="51"/>
        <v>-78051.798891600018</v>
      </c>
      <c r="L115" s="8">
        <f t="shared" si="51"/>
        <v>18851.905187883342</v>
      </c>
      <c r="M115" s="8">
        <f t="shared" si="51"/>
        <v>16607.50490012001</v>
      </c>
      <c r="N115" s="8">
        <f t="shared" si="51"/>
        <v>-20519.033045333344</v>
      </c>
      <c r="O115" s="8">
        <f t="shared" si="51"/>
        <v>-17392.062670240004</v>
      </c>
      <c r="P115" s="8">
        <f t="shared" si="51"/>
        <v>-26477.637933533348</v>
      </c>
      <c r="Q115" s="8">
        <f t="shared" si="51"/>
        <v>85779.665218760027</v>
      </c>
      <c r="R115" s="8">
        <f t="shared" si="51"/>
        <v>-4481.8690928599972</v>
      </c>
      <c r="S115" s="8">
        <f t="shared" si="51"/>
        <v>-7955.1703123999978</v>
      </c>
      <c r="T115" s="8">
        <f t="shared" si="51"/>
        <v>-61274.748222719994</v>
      </c>
      <c r="U115" s="8">
        <f t="shared" si="51"/>
        <v>211942</v>
      </c>
      <c r="V115" s="58">
        <f>G115+H115+I115+J115+K115+L115+M115+O115+P115+Q115+S115+T115+U115</f>
        <v>-143697.28354340559</v>
      </c>
      <c r="W115" s="134">
        <f>W114-W79</f>
        <v>-420344.8862069319</v>
      </c>
      <c r="X115" s="8"/>
      <c r="Y115" s="4"/>
      <c r="Z115" s="39">
        <f>W115/W114</f>
        <v>-0.17313055492114479</v>
      </c>
      <c r="AD115" s="15"/>
    </row>
    <row r="116" spans="1:30" x14ac:dyDescent="0.2">
      <c r="A116" s="11" t="s">
        <v>227</v>
      </c>
      <c r="B116" s="1"/>
      <c r="C116" s="8">
        <v>-24489.061408000001</v>
      </c>
      <c r="D116" s="46"/>
      <c r="E116" s="46"/>
      <c r="F116" s="58"/>
      <c r="G116" s="8"/>
      <c r="H116" s="46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58"/>
      <c r="W116" s="90">
        <v>0</v>
      </c>
      <c r="X116" s="8" t="s">
        <v>228</v>
      </c>
      <c r="Y116" s="4"/>
      <c r="Z116" s="39"/>
      <c r="AD116" s="15"/>
    </row>
    <row r="117" spans="1:30" x14ac:dyDescent="0.2">
      <c r="A117" s="11" t="s">
        <v>312</v>
      </c>
      <c r="B117" s="1"/>
      <c r="C117" s="8">
        <v>-2312.3046798710056</v>
      </c>
      <c r="D117" s="46"/>
      <c r="E117" s="46"/>
      <c r="F117" s="58"/>
      <c r="G117" s="8"/>
      <c r="H117" s="46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58"/>
      <c r="W117" s="99">
        <f>W115+W116</f>
        <v>-420344.8862069319</v>
      </c>
      <c r="X117" s="8"/>
      <c r="Y117" s="4"/>
      <c r="Z117" s="39"/>
      <c r="AD117" s="15"/>
    </row>
    <row r="118" spans="1:30" x14ac:dyDescent="0.2">
      <c r="A118" s="1"/>
      <c r="B118" s="1"/>
      <c r="C118" s="8"/>
      <c r="D118" s="46"/>
      <c r="E118" s="46"/>
      <c r="F118" s="58"/>
      <c r="G118" s="8"/>
      <c r="H118" s="46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58"/>
      <c r="W118" s="90"/>
      <c r="X118" s="8"/>
      <c r="Y118" s="4"/>
      <c r="Z118" s="72"/>
      <c r="AD118" s="15"/>
    </row>
    <row r="119" spans="1:30" x14ac:dyDescent="0.2">
      <c r="A119" s="53" t="s">
        <v>302</v>
      </c>
      <c r="B119" s="53"/>
      <c r="C119" s="8">
        <v>145450</v>
      </c>
      <c r="D119" s="46"/>
      <c r="E119" s="132">
        <f>9000+3000</f>
        <v>12000</v>
      </c>
      <c r="F119" s="87">
        <f>D119+E119</f>
        <v>12000</v>
      </c>
      <c r="G119" s="7"/>
      <c r="H119" s="45"/>
      <c r="I119" s="7"/>
      <c r="J119" s="7"/>
      <c r="K119" s="7"/>
      <c r="L119" s="84"/>
      <c r="M119" s="84"/>
      <c r="N119" s="84"/>
      <c r="O119" s="84"/>
      <c r="P119" s="84"/>
      <c r="Q119" s="84"/>
      <c r="R119" s="84"/>
      <c r="S119" s="7"/>
      <c r="T119" s="84">
        <f>71774+15000</f>
        <v>86774</v>
      </c>
      <c r="U119" s="7"/>
      <c r="V119" s="87">
        <f>G119+H119+I119+J119+L119+M119+P119+S119+T119+U119</f>
        <v>86774</v>
      </c>
      <c r="W119" s="91">
        <f>F119+V119</f>
        <v>98774</v>
      </c>
      <c r="X119" s="8"/>
      <c r="Y119" s="4"/>
      <c r="Z119" s="72"/>
      <c r="AD119" s="15"/>
    </row>
    <row r="120" spans="1:30" x14ac:dyDescent="0.2">
      <c r="A120" s="53" t="s">
        <v>90</v>
      </c>
      <c r="B120" s="53"/>
      <c r="C120" s="122">
        <v>167626.756728129</v>
      </c>
      <c r="D120" s="46"/>
      <c r="E120" s="133">
        <f>E115+E119</f>
        <v>-184536.44355226669</v>
      </c>
      <c r="F120" s="88">
        <f>F115+F119</f>
        <v>-174044.70052533341</v>
      </c>
      <c r="G120" s="7"/>
      <c r="H120" s="4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4">
        <f>T115+T119</f>
        <v>25499.251777280006</v>
      </c>
      <c r="U120" s="7"/>
      <c r="V120" s="87"/>
      <c r="W120" s="92">
        <f>W115+W119</f>
        <v>-321570.8862069319</v>
      </c>
      <c r="X120" s="8"/>
      <c r="Y120" s="4"/>
      <c r="Z120" s="72"/>
      <c r="AD120" s="15"/>
    </row>
    <row r="121" spans="1:30" x14ac:dyDescent="0.2">
      <c r="A121" s="53"/>
      <c r="B121" s="53"/>
      <c r="C121" s="8"/>
      <c r="D121" s="46"/>
      <c r="E121" s="132"/>
      <c r="F121" s="87"/>
      <c r="G121" s="7"/>
      <c r="H121" s="45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57"/>
      <c r="W121" s="89"/>
      <c r="X121" s="8"/>
      <c r="Y121" s="4"/>
      <c r="Z121" s="72"/>
      <c r="AD121" s="15"/>
    </row>
    <row r="122" spans="1:30" x14ac:dyDescent="0.2">
      <c r="A122" s="53" t="s">
        <v>192</v>
      </c>
      <c r="B122" s="53"/>
      <c r="C122" s="85"/>
      <c r="D122" s="46"/>
      <c r="E122" s="133"/>
      <c r="F122" s="87"/>
      <c r="G122" s="84"/>
      <c r="H122" s="4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84"/>
      <c r="U122" s="84"/>
      <c r="V122" s="87"/>
      <c r="W122" s="91"/>
      <c r="X122" s="8"/>
      <c r="Y122" s="4"/>
      <c r="Z122" s="4"/>
      <c r="AD122" s="15"/>
    </row>
    <row r="123" spans="1:30" x14ac:dyDescent="0.2">
      <c r="A123" s="86" t="s">
        <v>187</v>
      </c>
      <c r="B123" s="86"/>
      <c r="C123" s="85">
        <v>58832.12</v>
      </c>
      <c r="D123" s="46"/>
      <c r="E123" s="132">
        <v>87704.960000000006</v>
      </c>
      <c r="F123" s="87">
        <f>D123+E123</f>
        <v>87704.960000000006</v>
      </c>
      <c r="G123" s="84"/>
      <c r="H123" s="45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4"/>
      <c r="U123" s="84">
        <v>2491</v>
      </c>
      <c r="V123" s="87">
        <f>G123+H123+I123+L123+M123+P123+S123+T123+U123</f>
        <v>2491</v>
      </c>
      <c r="W123" s="91">
        <f>F123+V123</f>
        <v>90195.96</v>
      </c>
      <c r="X123" s="8"/>
      <c r="Y123" s="4"/>
      <c r="Z123" s="4"/>
      <c r="AD123" s="15"/>
    </row>
    <row r="124" spans="1:30" x14ac:dyDescent="0.2">
      <c r="A124" s="86" t="s">
        <v>188</v>
      </c>
      <c r="B124" s="86"/>
      <c r="C124" s="85">
        <v>42841</v>
      </c>
      <c r="D124" s="46"/>
      <c r="E124" s="132"/>
      <c r="F124" s="87"/>
      <c r="G124" s="84"/>
      <c r="H124" s="4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4"/>
      <c r="U124" s="84">
        <v>0</v>
      </c>
      <c r="V124" s="87">
        <f>G124+H124+I124+L124+M124+P124+S124+T124+U124</f>
        <v>0</v>
      </c>
      <c r="W124" s="91">
        <f>F124+V124</f>
        <v>0</v>
      </c>
      <c r="X124" s="8"/>
      <c r="Y124" s="4"/>
      <c r="Z124" s="4"/>
      <c r="AD124" s="15"/>
    </row>
    <row r="125" spans="1:30" x14ac:dyDescent="0.2">
      <c r="A125" s="86" t="s">
        <v>189</v>
      </c>
      <c r="B125" s="86"/>
      <c r="C125" s="85">
        <v>37595</v>
      </c>
      <c r="D125" s="46"/>
      <c r="E125" s="132"/>
      <c r="F125" s="87"/>
      <c r="G125" s="84"/>
      <c r="H125" s="45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4"/>
      <c r="U125" s="84">
        <v>0</v>
      </c>
      <c r="V125" s="87">
        <f>G125+H125+I125+L125+M125+P125+S125+T125+U125</f>
        <v>0</v>
      </c>
      <c r="W125" s="91">
        <f>F125+V125</f>
        <v>0</v>
      </c>
      <c r="X125" s="8"/>
      <c r="Y125" s="4"/>
      <c r="Z125" s="4"/>
      <c r="AD125" s="15"/>
    </row>
    <row r="126" spans="1:30" x14ac:dyDescent="0.2">
      <c r="A126" s="86" t="s">
        <v>194</v>
      </c>
      <c r="B126" s="86"/>
      <c r="C126" s="85">
        <v>139268.12</v>
      </c>
      <c r="D126" s="46"/>
      <c r="E126" s="132"/>
      <c r="F126" s="87"/>
      <c r="G126" s="84"/>
      <c r="H126" s="45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4"/>
      <c r="U126" s="84"/>
      <c r="V126" s="87"/>
      <c r="W126" s="91">
        <f>W123+W124+W125</f>
        <v>90195.96</v>
      </c>
      <c r="X126" s="8"/>
      <c r="Y126" s="4"/>
      <c r="Z126" s="4"/>
      <c r="AD126" s="15"/>
    </row>
    <row r="127" spans="1:30" x14ac:dyDescent="0.2">
      <c r="A127" s="53" t="s">
        <v>90</v>
      </c>
      <c r="B127" s="53"/>
      <c r="C127" s="8">
        <v>306894.87672812899</v>
      </c>
      <c r="D127" s="46"/>
      <c r="E127" s="133">
        <f>E115+E119+E123</f>
        <v>-96831.483552266684</v>
      </c>
      <c r="F127" s="88">
        <f>F115+F119+F123</f>
        <v>-86339.7405253334</v>
      </c>
      <c r="G127" s="8"/>
      <c r="H127" s="46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58"/>
      <c r="W127" s="89">
        <f>W115+W119+W123+W124+W125</f>
        <v>-231374.92620693188</v>
      </c>
      <c r="X127" s="8"/>
      <c r="Y127" s="4"/>
      <c r="Z127" s="4"/>
      <c r="AD127" s="15"/>
    </row>
    <row r="128" spans="1:30" x14ac:dyDescent="0.2">
      <c r="A128" s="53"/>
      <c r="B128" s="5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4"/>
      <c r="Z128" s="4"/>
      <c r="AD128" s="15"/>
    </row>
    <row r="129" spans="1:30" hidden="1" x14ac:dyDescent="0.2">
      <c r="A129" s="35" t="s">
        <v>48</v>
      </c>
      <c r="B129" s="35"/>
      <c r="C129" s="34">
        <v>119791.94327187077</v>
      </c>
      <c r="D129" s="46"/>
      <c r="E129" s="46"/>
      <c r="F129" s="60">
        <f>F85+F86+F108+F110-F127</f>
        <v>161339.74052533339</v>
      </c>
      <c r="G129" s="48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3"/>
      <c r="V129" s="34">
        <f>V85+V86+V108+V109-V115+V94</f>
        <v>260697.28354340559</v>
      </c>
      <c r="W129" s="48">
        <f>F129+V129</f>
        <v>422037.02406873897</v>
      </c>
      <c r="X129" s="45"/>
      <c r="Y129" s="4"/>
      <c r="Z129" s="4"/>
      <c r="AD129" s="15"/>
    </row>
    <row r="130" spans="1:30" hidden="1" x14ac:dyDescent="0.2">
      <c r="A130" s="35" t="s">
        <v>53</v>
      </c>
      <c r="B130" s="35"/>
      <c r="C130" s="34">
        <v>165000</v>
      </c>
      <c r="D130" s="46"/>
      <c r="E130" s="46"/>
      <c r="F130" s="60">
        <v>98000</v>
      </c>
      <c r="G130" s="4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>
        <v>80000</v>
      </c>
      <c r="W130" s="48">
        <v>165000</v>
      </c>
      <c r="X130" s="45"/>
      <c r="Y130" s="4"/>
      <c r="Z130" s="4"/>
      <c r="AD130" s="15"/>
    </row>
    <row r="131" spans="1:30" x14ac:dyDescent="0.2">
      <c r="A131" s="1"/>
      <c r="B131" s="1"/>
      <c r="C131" s="4"/>
      <c r="D131" s="7"/>
      <c r="E131" s="4"/>
      <c r="F131" s="4"/>
      <c r="G131" s="4"/>
      <c r="H131" s="4"/>
      <c r="I131" s="4"/>
      <c r="J131" s="4"/>
      <c r="K131" s="4"/>
      <c r="L131" s="2"/>
      <c r="W131" s="4"/>
      <c r="AD131" s="15"/>
    </row>
    <row r="132" spans="1:30" x14ac:dyDescent="0.2">
      <c r="C132" s="7"/>
      <c r="D132" s="4"/>
      <c r="E132" s="4"/>
      <c r="F132" s="4"/>
      <c r="G132" s="4"/>
      <c r="H132" s="4"/>
      <c r="I132" s="4"/>
      <c r="J132" s="4"/>
      <c r="K132" s="4"/>
      <c r="L132" s="2"/>
      <c r="M132" s="15"/>
      <c r="N132" s="15"/>
      <c r="O132" s="15"/>
      <c r="W132" s="7"/>
      <c r="AD132" s="15"/>
    </row>
    <row r="133" spans="1:30" x14ac:dyDescent="0.2">
      <c r="C133" s="7"/>
      <c r="D133" s="32"/>
      <c r="E133" s="4"/>
      <c r="F133" s="4"/>
      <c r="G133" s="4"/>
      <c r="H133" s="4"/>
      <c r="I133" s="4"/>
      <c r="J133" s="4"/>
      <c r="K133" s="4"/>
      <c r="L133" s="2"/>
      <c r="W133" s="7"/>
      <c r="AD133" s="15"/>
    </row>
    <row r="134" spans="1:30" x14ac:dyDescent="0.2">
      <c r="A134" s="9"/>
      <c r="B134" s="9"/>
      <c r="C134" s="4"/>
      <c r="D134" s="4"/>
      <c r="E134" s="4"/>
      <c r="F134" s="7"/>
      <c r="G134" s="4"/>
      <c r="H134" s="4"/>
      <c r="I134" s="4"/>
      <c r="J134" s="4"/>
      <c r="K134" s="4"/>
      <c r="L134" s="2"/>
      <c r="W134" s="4"/>
      <c r="AD134" s="15"/>
    </row>
    <row r="135" spans="1:30" x14ac:dyDescent="0.2">
      <c r="A135" s="1"/>
      <c r="B135" s="1"/>
      <c r="C135" s="32"/>
      <c r="D135" s="1"/>
      <c r="E135" s="4"/>
      <c r="F135" s="4"/>
      <c r="G135" s="4"/>
      <c r="H135" s="4"/>
      <c r="I135" s="4"/>
      <c r="J135" s="4"/>
      <c r="K135" s="4"/>
      <c r="L135" s="2"/>
      <c r="W135" s="32"/>
    </row>
    <row r="136" spans="1:30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2"/>
      <c r="W136" s="4"/>
    </row>
    <row r="137" spans="1:30" x14ac:dyDescent="0.2">
      <c r="A137" s="4"/>
      <c r="B137" s="4"/>
      <c r="C137" s="1"/>
      <c r="E137" s="1"/>
      <c r="F137" s="1"/>
      <c r="G137" s="1"/>
      <c r="H137" s="1"/>
      <c r="I137" s="1"/>
      <c r="J137" s="1"/>
      <c r="K137" s="1"/>
      <c r="L137" s="3"/>
      <c r="W137" s="1"/>
    </row>
    <row r="138" spans="1:30" x14ac:dyDescent="0.2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2"/>
      <c r="W138" s="4"/>
    </row>
  </sheetData>
  <pageMargins left="0.5" right="0.5" top="0.75" bottom="0.75" header="0.3" footer="0.3"/>
  <pageSetup scale="17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E20" sqref="E20"/>
    </sheetView>
  </sheetViews>
  <sheetFormatPr defaultRowHeight="12.75" x14ac:dyDescent="0.2"/>
  <cols>
    <col min="1" max="2" width="15.7109375" customWidth="1"/>
    <col min="3" max="4" width="12.7109375" customWidth="1"/>
  </cols>
  <sheetData>
    <row r="1" spans="1:6" x14ac:dyDescent="0.2">
      <c r="A1" t="s">
        <v>153</v>
      </c>
    </row>
    <row r="2" spans="1:6" x14ac:dyDescent="0.2">
      <c r="A2" s="82" t="s">
        <v>154</v>
      </c>
      <c r="B2" s="82" t="s">
        <v>155</v>
      </c>
      <c r="C2" s="82" t="s">
        <v>19</v>
      </c>
      <c r="D2" s="82" t="s">
        <v>25</v>
      </c>
    </row>
    <row r="3" spans="1:6" x14ac:dyDescent="0.2">
      <c r="A3" s="103" t="s">
        <v>299</v>
      </c>
      <c r="B3" t="s">
        <v>156</v>
      </c>
      <c r="C3">
        <f>120*12</f>
        <v>1440</v>
      </c>
      <c r="D3">
        <f>132*12</f>
        <v>1584</v>
      </c>
    </row>
    <row r="4" spans="1:6" x14ac:dyDescent="0.2">
      <c r="A4" t="s">
        <v>157</v>
      </c>
      <c r="B4" t="s">
        <v>156</v>
      </c>
    </row>
    <row r="5" spans="1:6" x14ac:dyDescent="0.2">
      <c r="A5" t="s">
        <v>158</v>
      </c>
      <c r="B5" t="s">
        <v>159</v>
      </c>
      <c r="C5">
        <f>36*6*12</f>
        <v>2592</v>
      </c>
      <c r="D5">
        <f>36*18*12</f>
        <v>7776</v>
      </c>
    </row>
    <row r="6" spans="1:6" x14ac:dyDescent="0.2">
      <c r="A6" t="s">
        <v>160</v>
      </c>
      <c r="B6" t="s">
        <v>161</v>
      </c>
      <c r="D6">
        <v>120</v>
      </c>
    </row>
    <row r="7" spans="1:6" x14ac:dyDescent="0.2">
      <c r="A7" t="s">
        <v>162</v>
      </c>
      <c r="B7" t="s">
        <v>161</v>
      </c>
      <c r="D7">
        <v>4600</v>
      </c>
    </row>
    <row r="8" spans="1:6" x14ac:dyDescent="0.2">
      <c r="A8" t="s">
        <v>163</v>
      </c>
      <c r="B8" t="s">
        <v>161</v>
      </c>
      <c r="F8" t="s">
        <v>164</v>
      </c>
    </row>
    <row r="9" spans="1:6" x14ac:dyDescent="0.2">
      <c r="A9" t="s">
        <v>165</v>
      </c>
      <c r="B9" t="s">
        <v>166</v>
      </c>
      <c r="D9">
        <f>600+1200</f>
        <v>1800</v>
      </c>
    </row>
    <row r="10" spans="1:6" x14ac:dyDescent="0.2">
      <c r="A10" t="s">
        <v>167</v>
      </c>
      <c r="B10" t="s">
        <v>168</v>
      </c>
      <c r="D10">
        <f>150*12</f>
        <v>1800</v>
      </c>
    </row>
    <row r="11" spans="1:6" x14ac:dyDescent="0.2">
      <c r="A11" t="s">
        <v>170</v>
      </c>
      <c r="B11" t="s">
        <v>169</v>
      </c>
      <c r="D11">
        <v>300</v>
      </c>
    </row>
    <row r="12" spans="1:6" x14ac:dyDescent="0.2">
      <c r="A12" t="s">
        <v>88</v>
      </c>
      <c r="B12" t="s">
        <v>174</v>
      </c>
      <c r="D12">
        <v>120</v>
      </c>
    </row>
    <row r="13" spans="1:6" x14ac:dyDescent="0.2">
      <c r="A13" t="s">
        <v>171</v>
      </c>
      <c r="B13" t="s">
        <v>82</v>
      </c>
    </row>
    <row r="14" spans="1:6" x14ac:dyDescent="0.2">
      <c r="A14" t="s">
        <v>173</v>
      </c>
      <c r="B14" t="s">
        <v>172</v>
      </c>
      <c r="D14">
        <v>300</v>
      </c>
    </row>
    <row r="15" spans="1:6" x14ac:dyDescent="0.2">
      <c r="A15" t="s">
        <v>175</v>
      </c>
      <c r="B15" t="s">
        <v>176</v>
      </c>
      <c r="D15">
        <v>90</v>
      </c>
    </row>
    <row r="16" spans="1:6" x14ac:dyDescent="0.2">
      <c r="A16" t="s">
        <v>177</v>
      </c>
      <c r="B16" t="s">
        <v>178</v>
      </c>
      <c r="D16">
        <v>600</v>
      </c>
    </row>
    <row r="17" spans="1:6" x14ac:dyDescent="0.2">
      <c r="A17" t="s">
        <v>179</v>
      </c>
      <c r="B17" t="s">
        <v>159</v>
      </c>
      <c r="C17" s="103">
        <f>18*3*12</f>
        <v>648</v>
      </c>
      <c r="F17" t="s">
        <v>180</v>
      </c>
    </row>
    <row r="18" spans="1:6" x14ac:dyDescent="0.2">
      <c r="A18" t="s">
        <v>181</v>
      </c>
      <c r="B18" t="s">
        <v>182</v>
      </c>
      <c r="D18">
        <v>360</v>
      </c>
    </row>
    <row r="19" spans="1:6" x14ac:dyDescent="0.2">
      <c r="A19" t="s">
        <v>29</v>
      </c>
      <c r="B19" t="s">
        <v>183</v>
      </c>
      <c r="C19">
        <v>6600</v>
      </c>
      <c r="D19">
        <v>6600</v>
      </c>
    </row>
    <row r="20" spans="1:6" x14ac:dyDescent="0.2">
      <c r="C20">
        <f>SUM(C3:C19)</f>
        <v>11280</v>
      </c>
      <c r="D20">
        <f>SUM(D3:D19)</f>
        <v>26050</v>
      </c>
      <c r="E20">
        <f>SUM(C20:D20)</f>
        <v>37330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 2018</vt:lpstr>
      <vt:lpstr>KEJC 2024 EC proposal</vt:lpstr>
      <vt:lpstr>KEJC 2024 new scale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Richard Seckel</cp:lastModifiedBy>
  <cp:lastPrinted>2023-07-25T13:54:03Z</cp:lastPrinted>
  <dcterms:created xsi:type="dcterms:W3CDTF">2007-11-15T22:37:25Z</dcterms:created>
  <dcterms:modified xsi:type="dcterms:W3CDTF">2023-12-12T21:44:41Z</dcterms:modified>
</cp:coreProperties>
</file>