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\Dropbox\"/>
    </mc:Choice>
  </mc:AlternateContent>
  <xr:revisionPtr revIDLastSave="0" documentId="13_ncr:1_{2992C5B1-8313-4332-A407-C2A567469E5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Worksheet 2018" sheetId="2" state="hidden" r:id="rId1"/>
    <sheet name="KEJC 2022" sheetId="4" r:id="rId2"/>
    <sheet name="Sheet1" sheetId="5" r:id="rId3"/>
    <sheet name="Sheet2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06" i="4" l="1"/>
  <c r="F44" i="4"/>
  <c r="C44" i="4"/>
  <c r="C45" i="4"/>
  <c r="E44" i="4"/>
  <c r="E45" i="4"/>
  <c r="F45" i="4"/>
  <c r="F43" i="4"/>
  <c r="C43" i="4"/>
  <c r="J43" i="4"/>
  <c r="P43" i="4"/>
  <c r="O43" i="4"/>
  <c r="N43" i="4"/>
  <c r="M43" i="4"/>
  <c r="L43" i="4"/>
  <c r="K43" i="4"/>
  <c r="I43" i="4"/>
  <c r="H43" i="4"/>
  <c r="F40" i="4"/>
  <c r="G40" i="4" s="1"/>
  <c r="C40" i="4"/>
  <c r="F39" i="4"/>
  <c r="C39" i="4"/>
  <c r="F38" i="4"/>
  <c r="C38" i="4"/>
  <c r="G38" i="4"/>
  <c r="K40" i="4"/>
  <c r="N38" i="4"/>
  <c r="M38" i="4"/>
  <c r="L38" i="4"/>
  <c r="K38" i="4"/>
  <c r="F108" i="4"/>
  <c r="R112" i="4"/>
  <c r="M108" i="4"/>
  <c r="L108" i="4"/>
  <c r="G108" i="4"/>
  <c r="G59" i="4"/>
  <c r="R113" i="4"/>
  <c r="S113" i="4" s="1"/>
  <c r="N45" i="4"/>
  <c r="C85" i="4"/>
  <c r="C105" i="4" s="1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S90" i="4" s="1"/>
  <c r="T90" i="4" s="1"/>
  <c r="R91" i="4"/>
  <c r="R92" i="4"/>
  <c r="S92" i="4" s="1"/>
  <c r="T92" i="4" s="1"/>
  <c r="R93" i="4"/>
  <c r="S93" i="4" s="1"/>
  <c r="R94" i="4"/>
  <c r="S94" i="4" s="1"/>
  <c r="T94" i="4" s="1"/>
  <c r="R95" i="4"/>
  <c r="R96" i="4"/>
  <c r="R97" i="4"/>
  <c r="S97" i="4" s="1"/>
  <c r="T97" i="4" s="1"/>
  <c r="R98" i="4"/>
  <c r="R99" i="4"/>
  <c r="R100" i="4"/>
  <c r="R101" i="4"/>
  <c r="R102" i="4"/>
  <c r="R103" i="4"/>
  <c r="R104" i="4"/>
  <c r="O39" i="4"/>
  <c r="O40" i="4"/>
  <c r="N68" i="4"/>
  <c r="R68" i="4" s="1"/>
  <c r="S68" i="4" s="1"/>
  <c r="T68" i="4" s="1"/>
  <c r="R114" i="4"/>
  <c r="S114" i="4" s="1"/>
  <c r="G112" i="4"/>
  <c r="K72" i="4"/>
  <c r="K105" i="4"/>
  <c r="B105" i="4"/>
  <c r="Q60" i="4"/>
  <c r="I58" i="4"/>
  <c r="I72" i="4" s="1"/>
  <c r="N50" i="4"/>
  <c r="R50" i="4" s="1"/>
  <c r="H11" i="4"/>
  <c r="N40" i="4"/>
  <c r="N39" i="4"/>
  <c r="R70" i="4"/>
  <c r="N69" i="4"/>
  <c r="E20" i="5"/>
  <c r="C20" i="5"/>
  <c r="D20" i="5"/>
  <c r="D17" i="5"/>
  <c r="C17" i="5"/>
  <c r="C13" i="5"/>
  <c r="D10" i="5"/>
  <c r="D9" i="5"/>
  <c r="D8" i="5"/>
  <c r="D5" i="5"/>
  <c r="C5" i="5"/>
  <c r="D4" i="5"/>
  <c r="C3" i="5"/>
  <c r="R63" i="4"/>
  <c r="C61" i="4"/>
  <c r="F61" i="4"/>
  <c r="J66" i="4"/>
  <c r="J72" i="4" s="1"/>
  <c r="P60" i="4"/>
  <c r="N60" i="4"/>
  <c r="H60" i="4"/>
  <c r="F60" i="4"/>
  <c r="C60" i="4"/>
  <c r="Q57" i="4"/>
  <c r="R57" i="4" s="1"/>
  <c r="F56" i="4"/>
  <c r="C56" i="4"/>
  <c r="F55" i="4"/>
  <c r="C55" i="4"/>
  <c r="Q55" i="4"/>
  <c r="R55" i="4" s="1"/>
  <c r="Q54" i="4"/>
  <c r="F54" i="4"/>
  <c r="C54" i="4"/>
  <c r="Q53" i="4"/>
  <c r="R53" i="4" s="1"/>
  <c r="S53" i="4" s="1"/>
  <c r="T53" i="4" s="1"/>
  <c r="B72" i="4"/>
  <c r="B46" i="4"/>
  <c r="B35" i="4"/>
  <c r="R32" i="4"/>
  <c r="S32" i="4" s="1"/>
  <c r="T32" i="4" s="1"/>
  <c r="R33" i="4"/>
  <c r="S33" i="4" s="1"/>
  <c r="T33" i="4" s="1"/>
  <c r="K39" i="4"/>
  <c r="I39" i="4"/>
  <c r="P38" i="4"/>
  <c r="O38" i="4"/>
  <c r="J38" i="4"/>
  <c r="I38" i="4"/>
  <c r="H10" i="4"/>
  <c r="L10" i="4"/>
  <c r="M10" i="4"/>
  <c r="Z28" i="4"/>
  <c r="F28" i="4"/>
  <c r="C28" i="4"/>
  <c r="F26" i="4"/>
  <c r="C26" i="4"/>
  <c r="F30" i="4"/>
  <c r="G30" i="4" s="1"/>
  <c r="F29" i="4"/>
  <c r="G29" i="4" s="1"/>
  <c r="X27" i="4"/>
  <c r="Z27" i="4" s="1"/>
  <c r="Z24" i="4"/>
  <c r="F24" i="4" s="1"/>
  <c r="Y23" i="4"/>
  <c r="Z23" i="4" s="1"/>
  <c r="AD15" i="4"/>
  <c r="Z15" i="4"/>
  <c r="M15" i="4" s="1"/>
  <c r="W15" i="4"/>
  <c r="Z14" i="4"/>
  <c r="H14" i="4" s="1"/>
  <c r="Z21" i="4"/>
  <c r="N21" i="4" s="1"/>
  <c r="R21" i="4" s="1"/>
  <c r="W21" i="4"/>
  <c r="Z20" i="4"/>
  <c r="S20" i="4" s="1"/>
  <c r="T20" i="4" s="1"/>
  <c r="Z16" i="4"/>
  <c r="L16" i="4" s="1"/>
  <c r="W20" i="4"/>
  <c r="W18" i="4"/>
  <c r="Z18" i="4"/>
  <c r="S18" i="4" s="1"/>
  <c r="T18" i="4" s="1"/>
  <c r="Z13" i="4"/>
  <c r="L13" i="4" s="1"/>
  <c r="R13" i="4" s="1"/>
  <c r="S13" i="4" s="1"/>
  <c r="T13" i="4" s="1"/>
  <c r="X9" i="4"/>
  <c r="M9" i="4" s="1"/>
  <c r="N105" i="4"/>
  <c r="F69" i="4"/>
  <c r="G69" i="4" s="1"/>
  <c r="R51" i="4"/>
  <c r="R52" i="4"/>
  <c r="R56" i="4"/>
  <c r="R59" i="4"/>
  <c r="R61" i="4"/>
  <c r="R62" i="4"/>
  <c r="R64" i="4"/>
  <c r="S64" i="4" s="1"/>
  <c r="T64" i="4" s="1"/>
  <c r="R65" i="4"/>
  <c r="S65" i="4" s="1"/>
  <c r="T65" i="4" s="1"/>
  <c r="R67" i="4"/>
  <c r="R71" i="4"/>
  <c r="L54" i="4"/>
  <c r="F62" i="4"/>
  <c r="G62" i="4" s="1"/>
  <c r="G77" i="4"/>
  <c r="G58" i="4"/>
  <c r="D72" i="4"/>
  <c r="D73" i="4" s="1"/>
  <c r="F52" i="4"/>
  <c r="G52" i="4" s="1"/>
  <c r="P45" i="4"/>
  <c r="J45" i="4"/>
  <c r="L45" i="4"/>
  <c r="M45" i="4"/>
  <c r="I45" i="4"/>
  <c r="R23" i="4"/>
  <c r="R24" i="4"/>
  <c r="R26" i="4"/>
  <c r="R27" i="4"/>
  <c r="R28" i="4"/>
  <c r="R29" i="4"/>
  <c r="R30" i="4"/>
  <c r="L39" i="4"/>
  <c r="Z19" i="4"/>
  <c r="N19" i="4" s="1"/>
  <c r="R19" i="4" s="1"/>
  <c r="W19" i="4"/>
  <c r="W30" i="4"/>
  <c r="Z12" i="4"/>
  <c r="AD28" i="4"/>
  <c r="AB27" i="4"/>
  <c r="AD27" i="4" s="1"/>
  <c r="AB26" i="4"/>
  <c r="AD26" i="4" s="1"/>
  <c r="AC14" i="4"/>
  <c r="AD23" i="4"/>
  <c r="AB23" i="4"/>
  <c r="AB12" i="4"/>
  <c r="AD12" i="4" s="1"/>
  <c r="AB13" i="4"/>
  <c r="AD13" i="4" s="1"/>
  <c r="AB24" i="4"/>
  <c r="AD24" i="4" s="1"/>
  <c r="AB11" i="4"/>
  <c r="AD11" i="4" s="1"/>
  <c r="AC10" i="4"/>
  <c r="AB9" i="4"/>
  <c r="Z26" i="4"/>
  <c r="W28" i="4"/>
  <c r="W29" i="4"/>
  <c r="J39" i="4"/>
  <c r="M39" i="4"/>
  <c r="P39" i="4"/>
  <c r="I40" i="4"/>
  <c r="J40" i="4"/>
  <c r="L40" i="4"/>
  <c r="M40" i="4"/>
  <c r="P40" i="4"/>
  <c r="G50" i="4"/>
  <c r="G51" i="4"/>
  <c r="G57" i="4"/>
  <c r="L58" i="4"/>
  <c r="C63" i="4"/>
  <c r="F63" i="4"/>
  <c r="F66" i="4"/>
  <c r="G66" i="4" s="1"/>
  <c r="M72" i="4"/>
  <c r="G67" i="4"/>
  <c r="P69" i="4"/>
  <c r="G70" i="4"/>
  <c r="G71" i="4"/>
  <c r="O72" i="4"/>
  <c r="F76" i="4"/>
  <c r="F105" i="4" s="1"/>
  <c r="Q76" i="4"/>
  <c r="R76" i="4" s="1"/>
  <c r="G78" i="4"/>
  <c r="G79" i="4"/>
  <c r="G80" i="4"/>
  <c r="S80" i="4" s="1"/>
  <c r="T80" i="4" s="1"/>
  <c r="G81" i="4"/>
  <c r="G82" i="4"/>
  <c r="G83" i="4"/>
  <c r="G84" i="4"/>
  <c r="S84" i="4" s="1"/>
  <c r="T84" i="4" s="1"/>
  <c r="G86" i="4"/>
  <c r="G87" i="4"/>
  <c r="G88" i="4"/>
  <c r="G89" i="4"/>
  <c r="G91" i="4"/>
  <c r="S91" i="4"/>
  <c r="T91" i="4" s="1"/>
  <c r="G95" i="4"/>
  <c r="G96" i="4"/>
  <c r="S96" i="4" s="1"/>
  <c r="T96" i="4" s="1"/>
  <c r="G98" i="4"/>
  <c r="G99" i="4"/>
  <c r="G100" i="4"/>
  <c r="G101" i="4"/>
  <c r="G102" i="4"/>
  <c r="G103" i="4"/>
  <c r="G104" i="4"/>
  <c r="D105" i="4"/>
  <c r="H105" i="4"/>
  <c r="I105" i="4"/>
  <c r="J105" i="4"/>
  <c r="L105" i="4"/>
  <c r="M105" i="4"/>
  <c r="O105" i="4"/>
  <c r="B6" i="2"/>
  <c r="B7" i="2"/>
  <c r="B9" i="2"/>
  <c r="B10" i="2"/>
  <c r="B12" i="2"/>
  <c r="B13" i="2"/>
  <c r="B14" i="2"/>
  <c r="B16" i="2"/>
  <c r="P105" i="4"/>
  <c r="W13" i="4"/>
  <c r="W26" i="4"/>
  <c r="W14" i="4"/>
  <c r="W10" i="4"/>
  <c r="Z10" i="4"/>
  <c r="N10" i="4" s="1"/>
  <c r="W11" i="4"/>
  <c r="Z11" i="4"/>
  <c r="N11" i="4" s="1"/>
  <c r="D35" i="4"/>
  <c r="P12" i="4"/>
  <c r="R12" i="4" s="1"/>
  <c r="S12" i="4" s="1"/>
  <c r="T12" i="4" s="1"/>
  <c r="W12" i="4"/>
  <c r="Q35" i="4"/>
  <c r="Q42" i="4" s="1"/>
  <c r="G39" i="4" l="1"/>
  <c r="R108" i="4"/>
  <c r="S108" i="4" s="1"/>
  <c r="S29" i="4"/>
  <c r="T29" i="4" s="1"/>
  <c r="G56" i="4"/>
  <c r="Z9" i="4"/>
  <c r="H9" i="4" s="1"/>
  <c r="S88" i="4"/>
  <c r="T88" i="4" s="1"/>
  <c r="G85" i="4"/>
  <c r="S85" i="4" s="1"/>
  <c r="T85" i="4" s="1"/>
  <c r="S89" i="4"/>
  <c r="T89" i="4" s="1"/>
  <c r="S51" i="4"/>
  <c r="T51" i="4" s="1"/>
  <c r="S67" i="4"/>
  <c r="T67" i="4" s="1"/>
  <c r="G55" i="4"/>
  <c r="S101" i="4"/>
  <c r="T101" i="4" s="1"/>
  <c r="S95" i="4"/>
  <c r="T95" i="4" s="1"/>
  <c r="S81" i="4"/>
  <c r="T81" i="4" s="1"/>
  <c r="S59" i="4"/>
  <c r="T59" i="4" s="1"/>
  <c r="N18" i="4"/>
  <c r="R18" i="4" s="1"/>
  <c r="N16" i="4"/>
  <c r="S21" i="4"/>
  <c r="T21" i="4" s="1"/>
  <c r="G26" i="4"/>
  <c r="S26" i="4" s="1"/>
  <c r="T26" i="4" s="1"/>
  <c r="L72" i="4"/>
  <c r="S112" i="4"/>
  <c r="S115" i="4" s="1"/>
  <c r="S99" i="4"/>
  <c r="T99" i="4" s="1"/>
  <c r="S104" i="4"/>
  <c r="T104" i="4" s="1"/>
  <c r="L9" i="4"/>
  <c r="H16" i="4"/>
  <c r="Q105" i="4"/>
  <c r="S87" i="4"/>
  <c r="T87" i="4" s="1"/>
  <c r="W9" i="4"/>
  <c r="D106" i="4"/>
  <c r="D116" i="4" s="1"/>
  <c r="S52" i="4"/>
  <c r="T52" i="4" s="1"/>
  <c r="S62" i="4"/>
  <c r="T62" i="4" s="1"/>
  <c r="S86" i="4"/>
  <c r="T86" i="4" s="1"/>
  <c r="P10" i="4"/>
  <c r="I10" i="4" s="1"/>
  <c r="I35" i="4" s="1"/>
  <c r="L15" i="4"/>
  <c r="K15" i="4" s="1"/>
  <c r="K35" i="4" s="1"/>
  <c r="R45" i="4"/>
  <c r="G54" i="4"/>
  <c r="S57" i="4"/>
  <c r="T57" i="4" s="1"/>
  <c r="N72" i="4"/>
  <c r="S70" i="4"/>
  <c r="T70" i="4" s="1"/>
  <c r="C24" i="4"/>
  <c r="G24" i="4" s="1"/>
  <c r="S55" i="4"/>
  <c r="T55" i="4" s="1"/>
  <c r="S100" i="4"/>
  <c r="T100" i="4" s="1"/>
  <c r="G45" i="4"/>
  <c r="R54" i="4"/>
  <c r="G60" i="4"/>
  <c r="P72" i="4"/>
  <c r="S83" i="4"/>
  <c r="T83" i="4" s="1"/>
  <c r="G76" i="4"/>
  <c r="S76" i="4" s="1"/>
  <c r="T76" i="4" s="1"/>
  <c r="G63" i="4"/>
  <c r="S63" i="4" s="1"/>
  <c r="T63" i="4" s="1"/>
  <c r="S82" i="4"/>
  <c r="T82" i="4" s="1"/>
  <c r="N20" i="4"/>
  <c r="R20" i="4" s="1"/>
  <c r="Q43" i="4"/>
  <c r="S24" i="4"/>
  <c r="T24" i="4" s="1"/>
  <c r="S71" i="4"/>
  <c r="T71" i="4" s="1"/>
  <c r="S56" i="4"/>
  <c r="T56" i="4" s="1"/>
  <c r="R11" i="4"/>
  <c r="S11" i="4" s="1"/>
  <c r="T11" i="4" s="1"/>
  <c r="S79" i="4"/>
  <c r="T79" i="4" s="1"/>
  <c r="S50" i="4"/>
  <c r="T50" i="4" s="1"/>
  <c r="S30" i="4"/>
  <c r="T30" i="4" s="1"/>
  <c r="G28" i="4"/>
  <c r="S28" i="4" s="1"/>
  <c r="T28" i="4" s="1"/>
  <c r="S102" i="4"/>
  <c r="T102" i="4" s="1"/>
  <c r="S78" i="4"/>
  <c r="T78" i="4" s="1"/>
  <c r="Q44" i="4"/>
  <c r="R58" i="4"/>
  <c r="S58" i="4" s="1"/>
  <c r="T58" i="4" s="1"/>
  <c r="B47" i="4"/>
  <c r="B73" i="4" s="1"/>
  <c r="B106" i="4" s="1"/>
  <c r="G61" i="4"/>
  <c r="S61" i="4" s="1"/>
  <c r="T61" i="4" s="1"/>
  <c r="R69" i="4"/>
  <c r="S69" i="4" s="1"/>
  <c r="T69" i="4" s="1"/>
  <c r="F23" i="4"/>
  <c r="C23" i="4"/>
  <c r="F72" i="4"/>
  <c r="R39" i="4"/>
  <c r="R40" i="4"/>
  <c r="S40" i="4" s="1"/>
  <c r="T40" i="4" s="1"/>
  <c r="W27" i="4"/>
  <c r="C27" i="4"/>
  <c r="Q72" i="4"/>
  <c r="F27" i="4"/>
  <c r="S98" i="4"/>
  <c r="T98" i="4" s="1"/>
  <c r="AB10" i="4"/>
  <c r="AD10" i="4" s="1"/>
  <c r="S77" i="4"/>
  <c r="T77" i="4" s="1"/>
  <c r="M14" i="4"/>
  <c r="M35" i="4" s="1"/>
  <c r="H72" i="4"/>
  <c r="R60" i="4"/>
  <c r="C72" i="4"/>
  <c r="S19" i="4"/>
  <c r="T19" i="4" s="1"/>
  <c r="R66" i="4"/>
  <c r="S66" i="4" s="1"/>
  <c r="T66" i="4" s="1"/>
  <c r="AB14" i="4"/>
  <c r="AD14" i="4" s="1"/>
  <c r="R38" i="4"/>
  <c r="R105" i="4"/>
  <c r="T93" i="4"/>
  <c r="S39" i="4" l="1"/>
  <c r="T39" i="4" s="1"/>
  <c r="P9" i="4"/>
  <c r="H35" i="4"/>
  <c r="H42" i="4" s="1"/>
  <c r="N9" i="4"/>
  <c r="N35" i="4" s="1"/>
  <c r="N44" i="4" s="1"/>
  <c r="S54" i="4"/>
  <c r="T54" i="4" s="1"/>
  <c r="O16" i="4"/>
  <c r="O35" i="4" s="1"/>
  <c r="P35" i="4"/>
  <c r="R15" i="4"/>
  <c r="S15" i="4" s="1"/>
  <c r="T15" i="4" s="1"/>
  <c r="L35" i="4"/>
  <c r="L42" i="4" s="1"/>
  <c r="I41" i="4"/>
  <c r="I44" i="4"/>
  <c r="G105" i="4"/>
  <c r="S60" i="4"/>
  <c r="T60" i="4" s="1"/>
  <c r="R14" i="4"/>
  <c r="S14" i="4" s="1"/>
  <c r="T14" i="4" s="1"/>
  <c r="H44" i="4"/>
  <c r="Q46" i="4"/>
  <c r="Q47" i="4" s="1"/>
  <c r="Q73" i="4" s="1"/>
  <c r="Q106" i="4" s="1"/>
  <c r="S45" i="4"/>
  <c r="T45" i="4" s="1"/>
  <c r="G27" i="4"/>
  <c r="S27" i="4" s="1"/>
  <c r="T27" i="4" s="1"/>
  <c r="I42" i="4"/>
  <c r="R10" i="4"/>
  <c r="S10" i="4" s="1"/>
  <c r="T10" i="4" s="1"/>
  <c r="C41" i="4"/>
  <c r="G23" i="4"/>
  <c r="C35" i="4"/>
  <c r="R72" i="4"/>
  <c r="K42" i="4"/>
  <c r="K44" i="4"/>
  <c r="K41" i="4"/>
  <c r="F35" i="4"/>
  <c r="F41" i="4"/>
  <c r="S38" i="4"/>
  <c r="G72" i="4"/>
  <c r="T105" i="4"/>
  <c r="V105" i="4" s="1"/>
  <c r="S105" i="4"/>
  <c r="M44" i="4"/>
  <c r="M42" i="4"/>
  <c r="M41" i="4"/>
  <c r="R16" i="4" l="1"/>
  <c r="S16" i="4" s="1"/>
  <c r="T16" i="4" s="1"/>
  <c r="L41" i="4"/>
  <c r="L46" i="4" s="1"/>
  <c r="L47" i="4" s="1"/>
  <c r="L73" i="4" s="1"/>
  <c r="L106" i="4" s="1"/>
  <c r="J9" i="4"/>
  <c r="P41" i="4"/>
  <c r="O44" i="4"/>
  <c r="O41" i="4"/>
  <c r="O42" i="4"/>
  <c r="L44" i="4"/>
  <c r="P42" i="4"/>
  <c r="P44" i="4"/>
  <c r="N41" i="4"/>
  <c r="N42" i="4"/>
  <c r="S72" i="4"/>
  <c r="T72" i="4" s="1"/>
  <c r="V72" i="4" s="1"/>
  <c r="I46" i="4"/>
  <c r="I47" i="4" s="1"/>
  <c r="I73" i="4" s="1"/>
  <c r="I106" i="4" s="1"/>
  <c r="H46" i="4"/>
  <c r="H47" i="4" s="1"/>
  <c r="H73" i="4" s="1"/>
  <c r="H106" i="4" s="1"/>
  <c r="G43" i="4"/>
  <c r="C42" i="4"/>
  <c r="M46" i="4"/>
  <c r="M47" i="4" s="1"/>
  <c r="M73" i="4" s="1"/>
  <c r="M106" i="4" s="1"/>
  <c r="T38" i="4"/>
  <c r="K46" i="4"/>
  <c r="K47" i="4" s="1"/>
  <c r="K73" i="4" s="1"/>
  <c r="K106" i="4" s="1"/>
  <c r="G35" i="4"/>
  <c r="S23" i="4"/>
  <c r="T23" i="4" s="1"/>
  <c r="F42" i="4"/>
  <c r="G41" i="4"/>
  <c r="J35" i="4" l="1"/>
  <c r="R9" i="4"/>
  <c r="O46" i="4"/>
  <c r="O47" i="4" s="1"/>
  <c r="O73" i="4" s="1"/>
  <c r="O106" i="4" s="1"/>
  <c r="P46" i="4"/>
  <c r="P47" i="4" s="1"/>
  <c r="P73" i="4" s="1"/>
  <c r="P106" i="4" s="1"/>
  <c r="N46" i="4"/>
  <c r="N47" i="4" s="1"/>
  <c r="N73" i="4" s="1"/>
  <c r="N106" i="4" s="1"/>
  <c r="C46" i="4"/>
  <c r="C47" i="4" s="1"/>
  <c r="C73" i="4" s="1"/>
  <c r="C106" i="4" s="1"/>
  <c r="F46" i="4"/>
  <c r="F47" i="4" s="1"/>
  <c r="F73" i="4" s="1"/>
  <c r="F106" i="4" s="1"/>
  <c r="G44" i="4"/>
  <c r="G42" i="4"/>
  <c r="S9" i="4" l="1"/>
  <c r="T9" i="4" s="1"/>
  <c r="R35" i="4"/>
  <c r="S35" i="4" s="1"/>
  <c r="T35" i="4" s="1"/>
  <c r="V35" i="4" s="1"/>
  <c r="R43" i="4"/>
  <c r="S43" i="4" s="1"/>
  <c r="T43" i="4" s="1"/>
  <c r="J41" i="4"/>
  <c r="J42" i="4"/>
  <c r="R42" i="4" s="1"/>
  <c r="S42" i="4" s="1"/>
  <c r="T42" i="4" s="1"/>
  <c r="J44" i="4"/>
  <c r="R44" i="4" s="1"/>
  <c r="S44" i="4" s="1"/>
  <c r="T44" i="4" s="1"/>
  <c r="F116" i="4"/>
  <c r="F109" i="4"/>
  <c r="G46" i="4"/>
  <c r="G47" i="4" s="1"/>
  <c r="G73" i="4" s="1"/>
  <c r="G106" i="4" s="1"/>
  <c r="G109" i="4" s="1"/>
  <c r="J46" i="4" l="1"/>
  <c r="J47" i="4" s="1"/>
  <c r="J73" i="4" s="1"/>
  <c r="R41" i="4"/>
  <c r="S41" i="4" s="1"/>
  <c r="T41" i="4" s="1"/>
  <c r="T46" i="4" s="1"/>
  <c r="V46" i="4" s="1"/>
  <c r="G116" i="4"/>
  <c r="G118" i="4" s="1"/>
  <c r="S46" i="4" l="1"/>
  <c r="S47" i="4" s="1"/>
  <c r="S73" i="4" s="1"/>
  <c r="S106" i="4" s="1"/>
  <c r="S116" i="4" s="1"/>
  <c r="J106" i="4"/>
  <c r="R73" i="4"/>
  <c r="R106" i="4" s="1"/>
  <c r="R118" i="4" s="1"/>
  <c r="S118" i="4" s="1"/>
  <c r="R46" i="4"/>
  <c r="R47" i="4" s="1"/>
  <c r="T47" i="4" l="1"/>
  <c r="T73" i="4" s="1"/>
  <c r="V73" i="4" s="1"/>
  <c r="S109" i="4"/>
  <c r="V4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 Seckel</author>
    <author>Rich</author>
    <author>Richard Seckel</author>
  </authors>
  <commentList>
    <comment ref="C5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Interpreters and assessments
</t>
        </r>
      </text>
    </comment>
    <comment ref="R51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Rich:</t>
        </r>
        <r>
          <rPr>
            <sz val="9"/>
            <color indexed="81"/>
            <rFont val="Tahoma"/>
            <family val="2"/>
          </rPr>
          <t xml:space="preserve">
Includes development and strategic planning assistance at $3000 of $6000 BGCF grant.
</t>
        </r>
      </text>
    </comment>
    <comment ref="F52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Rich:</t>
        </r>
        <r>
          <rPr>
            <sz val="9"/>
            <color indexed="81"/>
            <rFont val="Tahoma"/>
            <family val="2"/>
          </rPr>
          <t xml:space="preserve">
UK Work Study plus cleaning
</t>
        </r>
      </text>
    </comment>
    <comment ref="C54" authorId="2" shapeId="0" xr:uid="{00000000-0006-0000-0100-000004000000}">
      <text>
        <r>
          <rPr>
            <b/>
            <sz val="9"/>
            <color indexed="81"/>
            <rFont val="Tahoma"/>
            <family val="2"/>
          </rPr>
          <t>Richard Seckel:</t>
        </r>
        <r>
          <rPr>
            <sz val="9"/>
            <color indexed="81"/>
            <rFont val="Tahoma"/>
            <family val="2"/>
          </rPr>
          <t xml:space="preserve">
CLINIC and bar dues</t>
        </r>
      </text>
    </comment>
    <comment ref="F54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Rich:</t>
        </r>
        <r>
          <rPr>
            <sz val="9"/>
            <color indexed="81"/>
            <rFont val="Tahoma"/>
            <family val="2"/>
          </rPr>
          <t xml:space="preserve">
Includes CLINIC, bar, AILA
</t>
        </r>
      </text>
    </comment>
    <comment ref="C6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Includes allocation for new case management system</t>
        </r>
      </text>
    </comment>
    <comment ref="C6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Includes new office desks and chairs
</t>
        </r>
      </text>
    </comment>
    <comment ref="C6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 kind
</t>
        </r>
      </text>
    </comment>
  </commentList>
</comments>
</file>

<file path=xl/sharedStrings.xml><?xml version="1.0" encoding="utf-8"?>
<sst xmlns="http://schemas.openxmlformats.org/spreadsheetml/2006/main" count="327" uniqueCount="247">
  <si>
    <t>Immigration Attorney</t>
  </si>
  <si>
    <t>Subtotal salaries</t>
  </si>
  <si>
    <t>Workers Comp</t>
  </si>
  <si>
    <t>Unemployment</t>
  </si>
  <si>
    <t>Operating expense</t>
  </si>
  <si>
    <t>Capital Additions</t>
  </si>
  <si>
    <t>Equipment Rental</t>
  </si>
  <si>
    <t>Insurance</t>
  </si>
  <si>
    <t>Library</t>
  </si>
  <si>
    <t>Office Supplies</t>
  </si>
  <si>
    <t>Prof Tax Audit</t>
  </si>
  <si>
    <t>Prof Accounting</t>
  </si>
  <si>
    <t>Rent</t>
  </si>
  <si>
    <t>Repairs</t>
  </si>
  <si>
    <t>Subtotal operating</t>
  </si>
  <si>
    <t>Total expense</t>
  </si>
  <si>
    <t>Projected income</t>
  </si>
  <si>
    <t>Program Contributions</t>
  </si>
  <si>
    <t>Total income</t>
  </si>
  <si>
    <t>Income over expense</t>
  </si>
  <si>
    <t>Expense</t>
  </si>
  <si>
    <t>Salaries</t>
  </si>
  <si>
    <t>Benefits</t>
  </si>
  <si>
    <t>Total Payroll</t>
  </si>
  <si>
    <t>Subtotal benefits</t>
  </si>
  <si>
    <t>MSLC</t>
  </si>
  <si>
    <t>Total</t>
  </si>
  <si>
    <t>CERS retirement</t>
  </si>
  <si>
    <t>Immigrant</t>
  </si>
  <si>
    <t>Rights</t>
  </si>
  <si>
    <t>Director</t>
  </si>
  <si>
    <t>KEJC</t>
  </si>
  <si>
    <t>for KEJC column</t>
  </si>
  <si>
    <t>General</t>
  </si>
  <si>
    <t>Printing and Copying</t>
  </si>
  <si>
    <t>Language Line</t>
  </si>
  <si>
    <t>KEJC Working Papers</t>
  </si>
  <si>
    <t>Miscellaneous</t>
  </si>
  <si>
    <t>Dues</t>
  </si>
  <si>
    <t>Interest Income</t>
  </si>
  <si>
    <t xml:space="preserve">Dental </t>
  </si>
  <si>
    <t xml:space="preserve">Health </t>
  </si>
  <si>
    <t xml:space="preserve">Life </t>
  </si>
  <si>
    <t>Disability</t>
  </si>
  <si>
    <t>Postage and Delivery</t>
  </si>
  <si>
    <t>Litigation Support</t>
  </si>
  <si>
    <t>Case Management</t>
  </si>
  <si>
    <t>Small Grants</t>
  </si>
  <si>
    <t>Client Fees</t>
  </si>
  <si>
    <t>Individual Donations</t>
  </si>
  <si>
    <t>Fundraising Events</t>
  </si>
  <si>
    <t>FCBF</t>
  </si>
  <si>
    <t>Catholic Diocese</t>
  </si>
  <si>
    <t>Task Force Sponsors</t>
  </si>
  <si>
    <t>Fundraising Goal</t>
  </si>
  <si>
    <t>Employ</t>
  </si>
  <si>
    <t>Law</t>
  </si>
  <si>
    <t>Health</t>
  </si>
  <si>
    <t>IMM</t>
  </si>
  <si>
    <t>Fundraising Goal Rounded</t>
  </si>
  <si>
    <t>Attorney</t>
  </si>
  <si>
    <t>Senior</t>
  </si>
  <si>
    <t>Law Fellow</t>
  </si>
  <si>
    <t>Health Law Fellow</t>
  </si>
  <si>
    <t>Foundation Healthy KY</t>
  </si>
  <si>
    <t>Ops</t>
  </si>
  <si>
    <t>Task Forces &amp; Meetings</t>
  </si>
  <si>
    <t>Difference</t>
  </si>
  <si>
    <t>BGCF</t>
  </si>
  <si>
    <t>CHIPRA</t>
  </si>
  <si>
    <t>Boots</t>
  </si>
  <si>
    <t>Foundation Boots</t>
  </si>
  <si>
    <t>Interact for Health</t>
  </si>
  <si>
    <t>Percent</t>
  </si>
  <si>
    <t>Salary</t>
  </si>
  <si>
    <t>Increase</t>
  </si>
  <si>
    <t>Attorney Fees</t>
  </si>
  <si>
    <t>on</t>
  </si>
  <si>
    <t>Anniv</t>
  </si>
  <si>
    <t xml:space="preserve">before </t>
  </si>
  <si>
    <t>Two year average trended &amp; per grants</t>
  </si>
  <si>
    <t>Per task forces and grants</t>
  </si>
  <si>
    <t>As per MOA with programs</t>
  </si>
  <si>
    <t>Renewal</t>
  </si>
  <si>
    <t>Grant ended</t>
  </si>
  <si>
    <t>As per recent gifts</t>
  </si>
  <si>
    <t>Eliminating low yield strategy</t>
  </si>
  <si>
    <t>Legal Assistant I</t>
  </si>
  <si>
    <t>Legal Assistant II</t>
  </si>
  <si>
    <t>Outreach Coordinator</t>
  </si>
  <si>
    <t>DOJ</t>
  </si>
  <si>
    <t>Actuals itemized and per grants</t>
  </si>
  <si>
    <t>Actuals trended and per grants</t>
  </si>
  <si>
    <t>Minor advice, no change</t>
  </si>
  <si>
    <t>201 W. Short Bundle</t>
  </si>
  <si>
    <t>Data backup</t>
  </si>
  <si>
    <t>MSLC Lex bundle</t>
  </si>
  <si>
    <t>Louis Bundle</t>
  </si>
  <si>
    <t>Ready Talk</t>
  </si>
  <si>
    <t>Quickbooks</t>
  </si>
  <si>
    <t>NFG</t>
  </si>
  <si>
    <t>Skype</t>
  </si>
  <si>
    <t>Telephone 2018</t>
  </si>
  <si>
    <t>Net</t>
  </si>
  <si>
    <t>New Grants General</t>
  </si>
  <si>
    <t>New Grants Safety Net</t>
  </si>
  <si>
    <t>Major Gift Exploration</t>
  </si>
  <si>
    <t>FICA rate</t>
  </si>
  <si>
    <t>Shred-it, Courtnet, general</t>
  </si>
  <si>
    <t>Actuals as per grants, current bills rounded</t>
  </si>
  <si>
    <t>United Way of Bluegrass</t>
  </si>
  <si>
    <t>New initiative</t>
  </si>
  <si>
    <t>As per investment policy</t>
  </si>
  <si>
    <t>VOCA</t>
  </si>
  <si>
    <t>VOCA Legal Assistant</t>
  </si>
  <si>
    <t>In-Kind Rent</t>
  </si>
  <si>
    <t>FICA 7.65%</t>
  </si>
  <si>
    <t>Senior Counsel</t>
  </si>
  <si>
    <t>Wix website</t>
  </si>
  <si>
    <t>Actuals trended over 2 years</t>
  </si>
  <si>
    <t>Actuals trended including giving days</t>
  </si>
  <si>
    <t>AILA and congregations</t>
  </si>
  <si>
    <t>Lowered risk</t>
  </si>
  <si>
    <t xml:space="preserve">Food </t>
  </si>
  <si>
    <t>Justice</t>
  </si>
  <si>
    <t>Food</t>
  </si>
  <si>
    <t>Food Justice Fellow</t>
  </si>
  <si>
    <t>Travel and Training</t>
  </si>
  <si>
    <t>As per last three year audit bid</t>
  </si>
  <si>
    <t>Current rent December 2019</t>
  </si>
  <si>
    <t>As per grant budget, annualized</t>
  </si>
  <si>
    <t>As per 2019 levels</t>
  </si>
  <si>
    <t>Bar Grants KBF LBF</t>
  </si>
  <si>
    <t xml:space="preserve">Actuals trended </t>
  </si>
  <si>
    <t>PIF</t>
  </si>
  <si>
    <t>Comms Coordinator</t>
  </si>
  <si>
    <t>Clearpath rate 0.19 per hundred</t>
  </si>
  <si>
    <t>Workstations, printers, scanners, phones</t>
  </si>
  <si>
    <t>No AmeriCorps, work study, cleaning</t>
  </si>
  <si>
    <t>Trended including board meeting cost</t>
  </si>
  <si>
    <t>Annual fees, training</t>
  </si>
  <si>
    <t>2020 grant amount</t>
  </si>
  <si>
    <t>Potential increase under new regional plan</t>
  </si>
  <si>
    <t>Two years trended</t>
  </si>
  <si>
    <t>VOCA Fellow II DOJ</t>
  </si>
  <si>
    <t>Resource Organizer</t>
  </si>
  <si>
    <t>MAZON</t>
  </si>
  <si>
    <t>$1 per hour on anniversary</t>
  </si>
  <si>
    <t>2022 Assumptions</t>
  </si>
  <si>
    <t>Housing</t>
  </si>
  <si>
    <t xml:space="preserve">Attorney </t>
  </si>
  <si>
    <t>Atty / DOJ</t>
  </si>
  <si>
    <t>Community Farm Alliance</t>
  </si>
  <si>
    <t>Kentucky Housing</t>
  </si>
  <si>
    <t>KCET</t>
  </si>
  <si>
    <t>Mason Fund</t>
  </si>
  <si>
    <t>KHC Housing Attorney I</t>
  </si>
  <si>
    <t>1.0 % increase</t>
  </si>
  <si>
    <t>Scale plus supervision</t>
  </si>
  <si>
    <t>Scale</t>
  </si>
  <si>
    <t>KHC Housing Outreach Lead I</t>
  </si>
  <si>
    <t>KHC Housing Outreach Lead II</t>
  </si>
  <si>
    <t>Scale @ 32 hour week</t>
  </si>
  <si>
    <t>Immigration Attorney PD</t>
  </si>
  <si>
    <t>-2022</t>
  </si>
  <si>
    <t>KHC Housing Outreach Intake</t>
  </si>
  <si>
    <t>Scale @ 5 years for 9 months</t>
  </si>
  <si>
    <t>Scale @ starting rate for 7 months</t>
  </si>
  <si>
    <t>VOCA Fellow I Attorney Interim</t>
  </si>
  <si>
    <t>KEJC with Maxwell Street Legal Clinic 2023</t>
  </si>
  <si>
    <t>Super</t>
  </si>
  <si>
    <t>Scale starting January at 4 years</t>
  </si>
  <si>
    <t>Resource</t>
  </si>
  <si>
    <t>Organizer</t>
  </si>
  <si>
    <t xml:space="preserve">Comms </t>
  </si>
  <si>
    <t>Coord</t>
  </si>
  <si>
    <t>DEI 2023 rates based on plan choices</t>
  </si>
  <si>
    <t>Metlife 2023 rate</t>
  </si>
  <si>
    <t>UI 2022 and KEJC base rate</t>
  </si>
  <si>
    <t>Comms Associate</t>
  </si>
  <si>
    <t>Louisville Outreach Coordinator</t>
  </si>
  <si>
    <t>Subgrants</t>
  </si>
  <si>
    <t>Consultants</t>
  </si>
  <si>
    <t>Comms</t>
  </si>
  <si>
    <t>Contract Accounting</t>
  </si>
  <si>
    <t>The Charity CFO</t>
  </si>
  <si>
    <t>Printers, postage meter as per vendor rates</t>
  </si>
  <si>
    <t>Contract Labor / AmeriCorps</t>
  </si>
  <si>
    <t>New category</t>
  </si>
  <si>
    <t xml:space="preserve">Two year average trended    </t>
  </si>
  <si>
    <t>Telecomm</t>
  </si>
  <si>
    <t>Vendor</t>
  </si>
  <si>
    <t>Type</t>
  </si>
  <si>
    <t>Windstream</t>
  </si>
  <si>
    <t>Internet</t>
  </si>
  <si>
    <t>Charter</t>
  </si>
  <si>
    <t>Nextiva</t>
  </si>
  <si>
    <t>Phone</t>
  </si>
  <si>
    <t>Action Network</t>
  </si>
  <si>
    <t>CRM</t>
  </si>
  <si>
    <t>Bloomerang</t>
  </si>
  <si>
    <t>Network for Good</t>
  </si>
  <si>
    <t>Six months</t>
  </si>
  <si>
    <t>QBO</t>
  </si>
  <si>
    <t>Accounting</t>
  </si>
  <si>
    <t>ADP</t>
  </si>
  <si>
    <t>Payroll</t>
  </si>
  <si>
    <t>Listserve</t>
  </si>
  <si>
    <t>Simplelists</t>
  </si>
  <si>
    <t>Storeitoffistie</t>
  </si>
  <si>
    <t>Video</t>
  </si>
  <si>
    <t>Zoom</t>
  </si>
  <si>
    <t xml:space="preserve">Video </t>
  </si>
  <si>
    <t>Dotster</t>
  </si>
  <si>
    <t>Web domain</t>
  </si>
  <si>
    <t>Wix</t>
  </si>
  <si>
    <t>Website</t>
  </si>
  <si>
    <t>Google Voice</t>
  </si>
  <si>
    <t>six months</t>
  </si>
  <si>
    <t xml:space="preserve">Loomly </t>
  </si>
  <si>
    <t>Social Media</t>
  </si>
  <si>
    <t>Phone Interpret</t>
  </si>
  <si>
    <t>Economic Justice Attorney</t>
  </si>
  <si>
    <t>Telecomm and CRM</t>
  </si>
  <si>
    <t>New phone system, language access</t>
  </si>
  <si>
    <t>Donor engagement events</t>
  </si>
  <si>
    <t xml:space="preserve">No PIF renewal </t>
  </si>
  <si>
    <t>Fayette County Housing</t>
  </si>
  <si>
    <t>Vanguard</t>
  </si>
  <si>
    <t>Cy Pres</t>
  </si>
  <si>
    <t>Nonprofit relief</t>
  </si>
  <si>
    <t>RJDEI consultant, graphic design, MSLC scan</t>
  </si>
  <si>
    <t>Medicaid case fees likely in 2023</t>
  </si>
  <si>
    <t>Available 1-time unrestricted</t>
  </si>
  <si>
    <t>Available carryover</t>
  </si>
  <si>
    <t>Compatibility Report for KEJC with MSLC by program 2023 draft rescued.xls</t>
  </si>
  <si>
    <t>Run on 12/8/2022 6:25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</si>
  <si>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</si>
  <si>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</si>
  <si>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</si>
  <si>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</si>
  <si>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</si>
  <si>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</si>
  <si>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Renewal of CBPP food justice support</t>
  </si>
  <si>
    <t>Subtotal</t>
  </si>
  <si>
    <t>CERS 2022 &amp; 2023 rates averaged 25.065%</t>
  </si>
  <si>
    <t>Updated 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</si>
</sst>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8" x14ac:knownFonts="1">
    <font>
      <sz val="10"/>
      <name val="Arial"/>
    </font>
    <font>
      <b/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0070C0"/>
      <name val="Arial"/>
      <family val="2"/>
    </font>
    <font>
      <sz val="10"/>
      <color theme="4" tint="-0.249977111117893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" fontId="6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4" fontId="0" fillId="0" borderId="0" xfId="0" applyNumberFormat="1"/>
    <xf numFmtId="4" fontId="10" fillId="0" borderId="0" xfId="0" applyNumberFormat="1" applyFont="1" applyProtection="1">
      <protection locked="0"/>
    </xf>
    <xf numFmtId="43" fontId="0" fillId="0" borderId="0" xfId="1" applyFont="1"/>
    <xf numFmtId="43" fontId="6" fillId="0" borderId="0" xfId="0" applyNumberFormat="1" applyFont="1" applyProtection="1">
      <protection locked="0"/>
    </xf>
    <xf numFmtId="43" fontId="0" fillId="0" borderId="0" xfId="1" applyFont="1" applyAlignment="1">
      <alignment horizontal="left"/>
    </xf>
    <xf numFmtId="39" fontId="0" fillId="0" borderId="0" xfId="1" applyNumberFormat="1" applyFont="1" applyAlignment="1"/>
    <xf numFmtId="0" fontId="10" fillId="0" borderId="0" xfId="0" applyFont="1" applyProtection="1">
      <protection locked="0"/>
    </xf>
    <xf numFmtId="4" fontId="6" fillId="0" borderId="0" xfId="1" applyNumberFormat="1" applyFont="1" applyFill="1" applyBorder="1" applyAlignmen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43" fontId="10" fillId="0" borderId="0" xfId="1" applyFont="1" applyFill="1" applyBorder="1" applyAlignment="1" applyProtection="1"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17" fontId="3" fillId="0" borderId="0" xfId="0" applyNumberFormat="1" applyFont="1" applyAlignment="1" applyProtection="1">
      <alignment horizontal="right"/>
      <protection locked="0"/>
    </xf>
    <xf numFmtId="164" fontId="0" fillId="0" borderId="0" xfId="3" applyNumberFormat="1" applyFont="1"/>
    <xf numFmtId="4" fontId="3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" fontId="6" fillId="0" borderId="0" xfId="0" applyNumberFormat="1" applyFont="1" applyProtection="1">
      <protection locked="0"/>
    </xf>
    <xf numFmtId="4" fontId="20" fillId="0" borderId="0" xfId="0" applyNumberFormat="1" applyFont="1" applyProtection="1">
      <protection locked="0"/>
    </xf>
    <xf numFmtId="4" fontId="21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4" fontId="0" fillId="0" borderId="0" xfId="1" applyNumberFormat="1" applyFont="1" applyBorder="1"/>
    <xf numFmtId="4" fontId="6" fillId="0" borderId="0" xfId="0" applyNumberFormat="1" applyFont="1" applyAlignment="1" applyProtection="1">
      <alignment vertical="top"/>
      <protection locked="0"/>
    </xf>
    <xf numFmtId="4" fontId="23" fillId="0" borderId="0" xfId="0" applyNumberFormat="1" applyFont="1" applyProtection="1">
      <protection locked="0"/>
    </xf>
    <xf numFmtId="10" fontId="6" fillId="0" borderId="0" xfId="3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49" fontId="6" fillId="0" borderId="0" xfId="0" applyNumberFormat="1" applyFont="1"/>
    <xf numFmtId="0" fontId="3" fillId="0" borderId="0" xfId="0" applyFont="1" applyAlignment="1">
      <alignment horizontal="left" indent="1"/>
    </xf>
    <xf numFmtId="0" fontId="6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4" fontId="6" fillId="0" borderId="1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4" fontId="21" fillId="0" borderId="1" xfId="0" applyNumberFormat="1" applyFont="1" applyBorder="1" applyProtection="1">
      <protection locked="0"/>
    </xf>
    <xf numFmtId="17" fontId="3" fillId="0" borderId="1" xfId="0" applyNumberFormat="1" applyFont="1" applyBorder="1" applyAlignment="1" applyProtection="1">
      <alignment horizontal="right"/>
      <protection locked="0"/>
    </xf>
    <xf numFmtId="4" fontId="6" fillId="0" borderId="1" xfId="1" applyNumberFormat="1" applyFont="1" applyFill="1" applyBorder="1" applyAlignment="1" applyProtection="1">
      <protection locked="0"/>
    </xf>
    <xf numFmtId="4" fontId="0" fillId="0" borderId="1" xfId="1" applyNumberFormat="1" applyFont="1" applyBorder="1"/>
    <xf numFmtId="4" fontId="8" fillId="0" borderId="1" xfId="0" applyNumberFormat="1" applyFont="1" applyBorder="1" applyProtection="1">
      <protection locked="0"/>
    </xf>
    <xf numFmtId="0" fontId="24" fillId="0" borderId="0" xfId="0" applyFont="1" applyProtection="1">
      <protection locked="0"/>
    </xf>
    <xf numFmtId="17" fontId="1" fillId="0" borderId="2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right"/>
      <protection locked="0"/>
    </xf>
    <xf numFmtId="4" fontId="21" fillId="0" borderId="2" xfId="0" applyNumberFormat="1" applyFont="1" applyBorder="1" applyProtection="1">
      <protection locked="0"/>
    </xf>
    <xf numFmtId="49" fontId="3" fillId="0" borderId="1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vertical="top"/>
      <protection locked="0"/>
    </xf>
    <xf numFmtId="0" fontId="0" fillId="0" borderId="1" xfId="0" applyBorder="1"/>
    <xf numFmtId="0" fontId="3" fillId="0" borderId="0" xfId="0" applyFont="1"/>
    <xf numFmtId="4" fontId="6" fillId="0" borderId="3" xfId="0" applyNumberFormat="1" applyFont="1" applyBorder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17" fontId="3" fillId="3" borderId="1" xfId="0" applyNumberFormat="1" applyFont="1" applyFill="1" applyBorder="1" applyAlignment="1" applyProtection="1">
      <alignment horizontal="right"/>
      <protection locked="0"/>
    </xf>
    <xf numFmtId="4" fontId="6" fillId="3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Alignment="1" applyProtection="1">
      <alignment horizontal="right"/>
      <protection locked="0"/>
    </xf>
    <xf numFmtId="0" fontId="6" fillId="3" borderId="1" xfId="0" applyFont="1" applyFill="1" applyBorder="1" applyProtection="1">
      <protection locked="0"/>
    </xf>
    <xf numFmtId="10" fontId="0" fillId="0" borderId="0" xfId="0" applyNumberFormat="1"/>
    <xf numFmtId="0" fontId="16" fillId="0" borderId="0" xfId="0" applyFont="1"/>
    <xf numFmtId="0" fontId="16" fillId="0" borderId="0" xfId="0" applyFont="1" applyProtection="1">
      <protection locked="0"/>
    </xf>
    <xf numFmtId="9" fontId="6" fillId="0" borderId="0" xfId="3" applyFont="1" applyFill="1" applyBorder="1" applyAlignment="1" applyProtection="1">
      <alignment horizontal="left"/>
      <protection locked="0"/>
    </xf>
    <xf numFmtId="164" fontId="0" fillId="0" borderId="0" xfId="3" applyNumberFormat="1" applyFont="1" applyFill="1"/>
    <xf numFmtId="4" fontId="6" fillId="0" borderId="0" xfId="0" applyNumberFormat="1" applyFont="1"/>
    <xf numFmtId="164" fontId="17" fillId="0" borderId="0" xfId="3" applyNumberFormat="1" applyFont="1" applyFill="1"/>
    <xf numFmtId="0" fontId="3" fillId="0" borderId="2" xfId="0" applyFont="1" applyBorder="1" applyAlignment="1" applyProtection="1">
      <alignment horizontal="right"/>
      <protection locked="0"/>
    </xf>
    <xf numFmtId="17" fontId="3" fillId="0" borderId="2" xfId="0" applyNumberFormat="1" applyFont="1" applyBorder="1" applyAlignment="1" applyProtection="1">
      <alignment horizontal="right"/>
      <protection locked="0"/>
    </xf>
    <xf numFmtId="4" fontId="0" fillId="0" borderId="2" xfId="1" applyNumberFormat="1" applyFont="1" applyBorder="1"/>
    <xf numFmtId="4" fontId="6" fillId="0" borderId="0" xfId="1" applyNumberFormat="1" applyFont="1" applyFill="1" applyBorder="1"/>
    <xf numFmtId="9" fontId="18" fillId="0" borderId="0" xfId="3" applyFont="1" applyFill="1"/>
    <xf numFmtId="10" fontId="0" fillId="0" borderId="0" xfId="3" applyNumberFormat="1" applyFont="1"/>
    <xf numFmtId="10" fontId="0" fillId="0" borderId="0" xfId="3" applyNumberFormat="1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4" fontId="3" fillId="0" borderId="3" xfId="0" applyNumberFormat="1" applyFont="1" applyBorder="1" applyProtection="1">
      <protection locked="0"/>
    </xf>
    <xf numFmtId="164" fontId="3" fillId="0" borderId="0" xfId="3" applyNumberFormat="1" applyFont="1" applyFill="1" applyBorder="1" applyAlignment="1" applyProtection="1">
      <alignment horizontal="left"/>
      <protection locked="0"/>
    </xf>
    <xf numFmtId="4" fontId="19" fillId="2" borderId="0" xfId="2" applyNumberFormat="1" applyBorder="1" applyAlignment="1" applyProtection="1">
      <protection locked="0"/>
    </xf>
    <xf numFmtId="0" fontId="0" fillId="0" borderId="2" xfId="0" applyBorder="1"/>
    <xf numFmtId="4" fontId="27" fillId="0" borderId="0" xfId="0" applyNumberFormat="1" applyFont="1" applyProtection="1">
      <protection locked="0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24" fillId="0" borderId="0" xfId="0" applyNumberFormat="1" applyFont="1" applyProtection="1">
      <protection locked="0"/>
    </xf>
    <xf numFmtId="4" fontId="25" fillId="0" borderId="0" xfId="0" applyNumberFormat="1" applyFont="1" applyProtection="1">
      <protection locked="0"/>
    </xf>
    <xf numFmtId="0" fontId="26" fillId="0" borderId="0" xfId="0" applyFont="1" applyProtection="1">
      <protection locked="0"/>
    </xf>
    <xf numFmtId="4" fontId="27" fillId="0" borderId="2" xfId="0" applyNumberFormat="1" applyFont="1" applyBorder="1" applyProtection="1">
      <protection locked="0"/>
    </xf>
    <xf numFmtId="4" fontId="25" fillId="0" borderId="2" xfId="0" applyNumberFormat="1" applyFont="1" applyBorder="1" applyProtection="1">
      <protection locked="0"/>
    </xf>
    <xf numFmtId="4" fontId="6" fillId="3" borderId="2" xfId="0" applyNumberFormat="1" applyFont="1" applyFill="1" applyBorder="1" applyProtection="1">
      <protection locked="0"/>
    </xf>
    <xf numFmtId="4" fontId="3" fillId="3" borderId="2" xfId="0" applyNumberFormat="1" applyFont="1" applyFill="1" applyBorder="1" applyProtection="1">
      <protection locked="0"/>
    </xf>
    <xf numFmtId="4" fontId="26" fillId="3" borderId="2" xfId="0" applyNumberFormat="1" applyFont="1" applyFill="1" applyBorder="1" applyProtection="1">
      <protection locked="0"/>
    </xf>
    <xf numFmtId="4" fontId="25" fillId="3" borderId="2" xfId="0" applyNumberFormat="1" applyFont="1" applyFill="1" applyBorder="1" applyProtection="1">
      <protection locked="0"/>
    </xf>
  </cellXfs>
  <cellStyles count="4">
    <cellStyle name="Comma" xfId="1" builtinId="3"/>
    <cellStyle name="Neutral" xfId="2" builtinId="2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workbookViewId="0">
      <selection activeCell="B16" sqref="B16"/>
    </sheetView>
  </sheetViews>
  <sheetFormatPr defaultColWidth="10" defaultRowHeight="12.75" x14ac:dyDescent="0.2"/>
  <cols>
    <col min="1" max="1" width="20" style="2" customWidth="1"/>
    <col min="2" max="2" width="12" style="2" customWidth="1"/>
    <col min="3" max="4" width="13" style="2" customWidth="1"/>
    <col min="5" max="5" width="11.42578125" style="2" customWidth="1"/>
    <col min="6" max="6" width="3" style="2" customWidth="1"/>
    <col min="7" max="7" width="12" style="2" customWidth="1"/>
    <col min="8" max="8" width="9" style="2" customWidth="1"/>
    <col min="9" max="9" width="9.140625" customWidth="1"/>
    <col min="10" max="16384" width="10" style="2"/>
  </cols>
  <sheetData>
    <row r="1" spans="1:7" ht="18" x14ac:dyDescent="0.25">
      <c r="A1" s="23" t="s">
        <v>36</v>
      </c>
      <c r="B1" s="4"/>
      <c r="C1" s="4"/>
      <c r="D1" s="4"/>
      <c r="E1" s="4"/>
      <c r="G1" s="5"/>
    </row>
    <row r="2" spans="1:7" x14ac:dyDescent="0.2">
      <c r="A2" s="9" t="s">
        <v>32</v>
      </c>
      <c r="B2" s="4"/>
      <c r="C2" s="4"/>
      <c r="D2" s="4"/>
      <c r="E2" s="4"/>
      <c r="G2" s="4"/>
    </row>
    <row r="3" spans="1:7" x14ac:dyDescent="0.2">
      <c r="A3" s="9"/>
      <c r="B3" s="4"/>
      <c r="C3" s="4"/>
      <c r="D3" s="4"/>
      <c r="E3" s="4"/>
      <c r="G3" s="4"/>
    </row>
    <row r="4" spans="1:7" x14ac:dyDescent="0.2">
      <c r="A4" s="21"/>
      <c r="B4" s="16"/>
      <c r="C4" s="26"/>
      <c r="D4" s="26"/>
      <c r="E4" s="26"/>
      <c r="F4" s="25"/>
      <c r="G4" s="21"/>
    </row>
    <row r="5" spans="1:7" x14ac:dyDescent="0.2">
      <c r="A5" s="1" t="s">
        <v>102</v>
      </c>
      <c r="B5" s="27" t="s">
        <v>20</v>
      </c>
      <c r="C5" s="26"/>
      <c r="D5" s="26"/>
      <c r="E5" s="26"/>
      <c r="F5" s="25"/>
      <c r="G5" s="21"/>
    </row>
    <row r="6" spans="1:7" x14ac:dyDescent="0.2">
      <c r="A6" s="4" t="s">
        <v>94</v>
      </c>
      <c r="B6" s="16">
        <f>218*12</f>
        <v>2616</v>
      </c>
      <c r="C6" s="26"/>
      <c r="D6" s="26"/>
      <c r="E6" s="26"/>
      <c r="F6" s="25"/>
      <c r="G6" s="21"/>
    </row>
    <row r="7" spans="1:7" x14ac:dyDescent="0.2">
      <c r="A7" s="4" t="s">
        <v>95</v>
      </c>
      <c r="B7" s="16">
        <f>53*12</f>
        <v>636</v>
      </c>
      <c r="C7" s="26"/>
      <c r="D7" s="26"/>
      <c r="E7" s="26"/>
      <c r="F7" s="25"/>
      <c r="G7" s="21"/>
    </row>
    <row r="8" spans="1:7" x14ac:dyDescent="0.2">
      <c r="A8" s="4" t="s">
        <v>118</v>
      </c>
      <c r="B8" s="16">
        <v>600</v>
      </c>
      <c r="C8" s="26"/>
      <c r="D8" s="26"/>
      <c r="E8" s="26"/>
      <c r="F8" s="25"/>
      <c r="G8" s="21"/>
    </row>
    <row r="9" spans="1:7" x14ac:dyDescent="0.2">
      <c r="A9" s="4" t="s">
        <v>96</v>
      </c>
      <c r="B9" s="16">
        <f>(269.96+0.04)*12</f>
        <v>3240</v>
      </c>
      <c r="C9" s="16"/>
      <c r="D9" s="16"/>
      <c r="E9" s="16"/>
      <c r="F9" s="25"/>
      <c r="G9" s="21"/>
    </row>
    <row r="10" spans="1:7" x14ac:dyDescent="0.2">
      <c r="A10" s="4" t="s">
        <v>97</v>
      </c>
      <c r="B10" s="16">
        <f>(144.08+0.92)*12</f>
        <v>1740</v>
      </c>
      <c r="C10" s="16"/>
      <c r="D10" s="16"/>
      <c r="E10" s="16"/>
      <c r="F10" s="25"/>
      <c r="G10" s="21"/>
    </row>
    <row r="11" spans="1:7" x14ac:dyDescent="0.2">
      <c r="A11" s="4" t="s">
        <v>98</v>
      </c>
      <c r="B11" s="16">
        <v>768</v>
      </c>
      <c r="C11" s="16"/>
      <c r="D11" s="16"/>
      <c r="E11" s="16"/>
      <c r="F11" s="25"/>
      <c r="G11" s="21"/>
    </row>
    <row r="12" spans="1:7" x14ac:dyDescent="0.2">
      <c r="A12" s="4" t="s">
        <v>35</v>
      </c>
      <c r="B12" s="7">
        <f>320*12</f>
        <v>3840</v>
      </c>
      <c r="C12" s="7"/>
      <c r="D12" s="7"/>
      <c r="E12" s="7"/>
      <c r="G12" s="21"/>
    </row>
    <row r="13" spans="1:7" x14ac:dyDescent="0.2">
      <c r="A13" s="4" t="s">
        <v>99</v>
      </c>
      <c r="B13" s="16">
        <f>(131.2+15)*12</f>
        <v>1754.3999999999999</v>
      </c>
      <c r="C13" s="7"/>
      <c r="D13" s="7"/>
      <c r="E13" s="7"/>
      <c r="G13" s="21"/>
    </row>
    <row r="14" spans="1:7" x14ac:dyDescent="0.2">
      <c r="A14" s="4" t="s">
        <v>100</v>
      </c>
      <c r="B14" s="7">
        <f>119*12</f>
        <v>1428</v>
      </c>
      <c r="C14" s="7"/>
      <c r="D14" s="7"/>
      <c r="E14" s="7"/>
      <c r="G14" s="21"/>
    </row>
    <row r="15" spans="1:7" x14ac:dyDescent="0.2">
      <c r="A15" s="4" t="s">
        <v>101</v>
      </c>
      <c r="B15" s="7">
        <v>120</v>
      </c>
      <c r="C15" s="7"/>
      <c r="D15" s="7"/>
      <c r="E15" s="7"/>
      <c r="G15" s="21"/>
    </row>
    <row r="16" spans="1:7" x14ac:dyDescent="0.2">
      <c r="A16" s="4"/>
      <c r="B16" s="7">
        <f>SUM(B6:B14)</f>
        <v>16622.400000000001</v>
      </c>
      <c r="C16" s="7"/>
      <c r="D16" s="7"/>
      <c r="E16" s="7"/>
      <c r="G16" s="12"/>
    </row>
    <row r="17" spans="1:7" x14ac:dyDescent="0.2">
      <c r="A17" s="4"/>
      <c r="B17" s="7"/>
      <c r="C17" s="7"/>
      <c r="D17" s="7"/>
      <c r="E17" s="7"/>
      <c r="G17" s="12"/>
    </row>
    <row r="18" spans="1:7" x14ac:dyDescent="0.2">
      <c r="A18" s="9"/>
      <c r="B18" s="7"/>
      <c r="C18" s="7"/>
      <c r="D18" s="7"/>
      <c r="E18" s="7"/>
      <c r="G18" s="13"/>
    </row>
    <row r="19" spans="1:7" x14ac:dyDescent="0.2">
      <c r="A19" s="21"/>
      <c r="B19" s="7"/>
      <c r="C19" s="7"/>
      <c r="D19" s="7"/>
      <c r="E19" s="7"/>
      <c r="G19" s="13"/>
    </row>
    <row r="20" spans="1:7" x14ac:dyDescent="0.2">
      <c r="A20" s="21"/>
      <c r="B20" s="7"/>
      <c r="C20" s="7"/>
      <c r="D20" s="7"/>
      <c r="E20" s="7"/>
      <c r="G20" s="24"/>
    </row>
    <row r="21" spans="1:7" x14ac:dyDescent="0.2">
      <c r="A21" s="21"/>
      <c r="B21" s="7"/>
      <c r="C21" s="7"/>
      <c r="D21" s="7"/>
      <c r="E21" s="7"/>
      <c r="G21" s="24"/>
    </row>
    <row r="22" spans="1:7" x14ac:dyDescent="0.2">
      <c r="A22" s="9"/>
      <c r="B22" s="7"/>
      <c r="C22" s="7"/>
      <c r="D22" s="7"/>
      <c r="E22" s="7"/>
      <c r="G22" s="12"/>
    </row>
    <row r="23" spans="1:7" x14ac:dyDescent="0.2">
      <c r="A23" s="4"/>
      <c r="B23" s="7"/>
      <c r="C23" s="7"/>
      <c r="D23" s="7"/>
      <c r="E23" s="7"/>
      <c r="G23" s="4"/>
    </row>
    <row r="24" spans="1:7" x14ac:dyDescent="0.2">
      <c r="A24" s="1"/>
      <c r="B24" s="7"/>
      <c r="C24" s="7"/>
      <c r="D24" s="7"/>
      <c r="E24" s="7"/>
      <c r="G24" s="4"/>
    </row>
    <row r="25" spans="1:7" x14ac:dyDescent="0.2">
      <c r="A25" s="4"/>
      <c r="B25" s="7"/>
      <c r="C25" s="7"/>
      <c r="D25" s="7"/>
      <c r="E25" s="7"/>
      <c r="G25" s="4"/>
    </row>
    <row r="26" spans="1:7" x14ac:dyDescent="0.2">
      <c r="A26" s="1"/>
      <c r="B26" s="7"/>
      <c r="C26" s="7"/>
      <c r="D26" s="7"/>
      <c r="E26" s="7"/>
      <c r="G26" s="4"/>
    </row>
    <row r="27" spans="1:7" x14ac:dyDescent="0.2">
      <c r="A27" s="4"/>
      <c r="B27" s="7"/>
      <c r="C27" s="7"/>
      <c r="D27" s="7"/>
      <c r="E27" s="7"/>
      <c r="G27" s="4"/>
    </row>
    <row r="28" spans="1:7" x14ac:dyDescent="0.2">
      <c r="A28" s="4"/>
      <c r="B28" s="7"/>
      <c r="C28" s="7"/>
      <c r="D28" s="7"/>
      <c r="E28" s="7"/>
      <c r="G28" s="12"/>
    </row>
    <row r="29" spans="1:7" x14ac:dyDescent="0.2">
      <c r="A29" s="4"/>
      <c r="B29" s="7"/>
      <c r="C29" s="7"/>
      <c r="D29" s="7"/>
      <c r="E29" s="7"/>
      <c r="G29" s="12"/>
    </row>
    <row r="30" spans="1:7" x14ac:dyDescent="0.2">
      <c r="A30" s="12"/>
      <c r="B30" s="7"/>
      <c r="C30" s="7"/>
      <c r="D30" s="7"/>
      <c r="E30" s="7"/>
      <c r="G30" s="4"/>
    </row>
    <row r="31" spans="1:7" x14ac:dyDescent="0.2">
      <c r="A31" s="4"/>
      <c r="B31" s="7"/>
      <c r="C31" s="7"/>
      <c r="D31" s="7"/>
      <c r="E31" s="7"/>
      <c r="G31" s="4"/>
    </row>
    <row r="32" spans="1:7" x14ac:dyDescent="0.2">
      <c r="A32" s="4"/>
      <c r="B32" s="7"/>
      <c r="C32" s="7"/>
      <c r="D32" s="7"/>
      <c r="E32" s="7"/>
      <c r="G32" s="12"/>
    </row>
    <row r="33" spans="1:7" x14ac:dyDescent="0.2">
      <c r="A33" s="4"/>
      <c r="B33" s="7"/>
      <c r="C33" s="7"/>
      <c r="D33" s="7"/>
      <c r="E33" s="7"/>
      <c r="G33" s="4"/>
    </row>
    <row r="34" spans="1:7" x14ac:dyDescent="0.2">
      <c r="A34" s="4"/>
      <c r="B34" s="7"/>
      <c r="C34" s="7"/>
      <c r="D34" s="7"/>
      <c r="E34" s="7"/>
      <c r="G34" s="4"/>
    </row>
    <row r="35" spans="1:7" x14ac:dyDescent="0.2">
      <c r="A35" s="4"/>
      <c r="B35" s="7"/>
      <c r="C35" s="7"/>
      <c r="D35" s="7"/>
      <c r="E35" s="7"/>
      <c r="G35" s="12"/>
    </row>
    <row r="36" spans="1:7" x14ac:dyDescent="0.2">
      <c r="A36" s="4"/>
      <c r="B36" s="7"/>
      <c r="C36" s="7"/>
      <c r="D36" s="7"/>
      <c r="E36" s="7"/>
      <c r="G36" s="12"/>
    </row>
    <row r="37" spans="1:7" x14ac:dyDescent="0.2">
      <c r="A37" s="4"/>
      <c r="B37" s="7"/>
      <c r="C37" s="7"/>
      <c r="D37" s="7"/>
      <c r="E37" s="7"/>
      <c r="G37" s="4"/>
    </row>
    <row r="38" spans="1:7" x14ac:dyDescent="0.2">
      <c r="A38" s="4"/>
      <c r="B38" s="7"/>
      <c r="C38" s="7"/>
      <c r="D38" s="7"/>
      <c r="E38" s="7"/>
      <c r="G38" s="12"/>
    </row>
    <row r="39" spans="1:7" x14ac:dyDescent="0.2">
      <c r="A39" s="4"/>
      <c r="B39" s="7"/>
      <c r="C39" s="7"/>
      <c r="D39" s="7"/>
      <c r="E39" s="7"/>
      <c r="G39" s="4"/>
    </row>
    <row r="40" spans="1:7" x14ac:dyDescent="0.2">
      <c r="A40" s="4"/>
      <c r="B40" s="7"/>
      <c r="C40" s="7"/>
      <c r="D40" s="7"/>
      <c r="E40" s="7"/>
      <c r="G40" s="4"/>
    </row>
    <row r="41" spans="1:7" x14ac:dyDescent="0.2">
      <c r="A41" s="4"/>
      <c r="B41" s="7"/>
      <c r="C41" s="7"/>
      <c r="D41" s="7"/>
      <c r="E41" s="7"/>
      <c r="G41" s="4"/>
    </row>
    <row r="42" spans="1:7" x14ac:dyDescent="0.2">
      <c r="A42" s="12"/>
      <c r="B42" s="7"/>
      <c r="C42" s="7"/>
      <c r="D42" s="7"/>
      <c r="E42" s="7"/>
      <c r="G42" s="12"/>
    </row>
    <row r="43" spans="1:7" x14ac:dyDescent="0.2">
      <c r="A43" s="4"/>
      <c r="B43" s="7"/>
      <c r="C43" s="7"/>
      <c r="D43" s="7"/>
      <c r="E43" s="7"/>
      <c r="G43" s="12"/>
    </row>
    <row r="44" spans="1:7" x14ac:dyDescent="0.2">
      <c r="A44" s="4"/>
      <c r="B44" s="7"/>
      <c r="C44" s="7"/>
      <c r="D44" s="7"/>
      <c r="E44" s="7"/>
      <c r="G44" s="4"/>
    </row>
    <row r="45" spans="1:7" x14ac:dyDescent="0.2">
      <c r="A45" s="1"/>
      <c r="B45" s="7"/>
      <c r="C45" s="7"/>
      <c r="D45" s="7"/>
      <c r="E45" s="7"/>
      <c r="G45" s="4"/>
    </row>
    <row r="46" spans="1:7" x14ac:dyDescent="0.2">
      <c r="A46" s="1"/>
      <c r="B46" s="8"/>
      <c r="C46" s="8"/>
      <c r="D46" s="8"/>
      <c r="E46" s="8"/>
      <c r="G46" s="4"/>
    </row>
    <row r="47" spans="1:7" x14ac:dyDescent="0.2">
      <c r="A47" s="4"/>
      <c r="B47" s="4"/>
      <c r="C47" s="4"/>
      <c r="D47" s="4"/>
      <c r="E47" s="4"/>
      <c r="G47" s="4"/>
    </row>
    <row r="48" spans="1:7" x14ac:dyDescent="0.2">
      <c r="A48" s="1"/>
      <c r="B48" s="4"/>
      <c r="C48" s="4"/>
      <c r="D48" s="4"/>
      <c r="E48" s="4"/>
      <c r="G48" s="4"/>
    </row>
    <row r="49" spans="1:7" x14ac:dyDescent="0.2">
      <c r="A49" s="4"/>
      <c r="B49" s="7"/>
      <c r="C49" s="7"/>
      <c r="D49" s="7"/>
      <c r="E49" s="7"/>
      <c r="G49" s="12"/>
    </row>
    <row r="50" spans="1:7" x14ac:dyDescent="0.2">
      <c r="A50" s="4"/>
      <c r="B50" s="7"/>
      <c r="C50" s="7"/>
      <c r="D50" s="7"/>
      <c r="E50" s="7"/>
      <c r="G50" s="4"/>
    </row>
    <row r="51" spans="1:7" x14ac:dyDescent="0.2">
      <c r="A51" s="4"/>
      <c r="B51" s="7"/>
      <c r="C51" s="7"/>
      <c r="D51" s="7"/>
      <c r="E51" s="7"/>
      <c r="G51" s="4"/>
    </row>
    <row r="52" spans="1:7" x14ac:dyDescent="0.2">
      <c r="A52" s="4"/>
      <c r="B52" s="7"/>
      <c r="C52" s="7"/>
      <c r="D52" s="7"/>
      <c r="E52" s="7"/>
      <c r="G52" s="12"/>
    </row>
    <row r="53" spans="1:7" x14ac:dyDescent="0.2">
      <c r="A53" s="4"/>
      <c r="B53" s="7"/>
      <c r="C53" s="7"/>
      <c r="D53" s="7"/>
      <c r="E53" s="7"/>
      <c r="G53" s="12"/>
    </row>
    <row r="54" spans="1:7" x14ac:dyDescent="0.2">
      <c r="A54" s="4"/>
      <c r="B54" s="7"/>
      <c r="C54" s="7"/>
      <c r="D54" s="7"/>
      <c r="E54" s="7"/>
      <c r="G54" s="4"/>
    </row>
    <row r="55" spans="1:7" x14ac:dyDescent="0.2">
      <c r="A55" s="14"/>
      <c r="B55" s="7"/>
      <c r="C55" s="7"/>
      <c r="D55" s="7"/>
      <c r="E55" s="7"/>
      <c r="G55" s="14"/>
    </row>
    <row r="56" spans="1:7" x14ac:dyDescent="0.2">
      <c r="A56" s="14"/>
      <c r="B56" s="7"/>
      <c r="C56" s="7"/>
      <c r="D56" s="7"/>
      <c r="E56" s="7"/>
      <c r="G56" s="14"/>
    </row>
    <row r="57" spans="1:7" x14ac:dyDescent="0.2">
      <c r="A57" s="14"/>
      <c r="B57" s="7"/>
      <c r="C57" s="7"/>
      <c r="D57" s="7"/>
      <c r="E57" s="7"/>
      <c r="G57" s="14"/>
    </row>
    <row r="58" spans="1:7" x14ac:dyDescent="0.2">
      <c r="A58" s="4"/>
      <c r="B58" s="7"/>
      <c r="C58" s="7"/>
      <c r="D58" s="7"/>
      <c r="E58" s="7"/>
      <c r="G58" s="12"/>
    </row>
    <row r="59" spans="1:7" x14ac:dyDescent="0.2">
      <c r="A59" s="1"/>
      <c r="B59" s="7"/>
      <c r="C59" s="7"/>
      <c r="D59" s="7"/>
      <c r="E59" s="7"/>
      <c r="G59" s="4"/>
    </row>
    <row r="60" spans="1:7" x14ac:dyDescent="0.2">
      <c r="A60" s="1"/>
      <c r="B60" s="8"/>
      <c r="C60" s="8"/>
      <c r="D60" s="8"/>
      <c r="E60" s="8"/>
      <c r="G60" s="4"/>
    </row>
    <row r="61" spans="1:7" x14ac:dyDescent="0.2">
      <c r="A61" s="1"/>
      <c r="B61" s="8"/>
      <c r="C61" s="8"/>
      <c r="D61" s="8"/>
      <c r="E61" s="8"/>
      <c r="G61" s="4"/>
    </row>
    <row r="62" spans="1:7" x14ac:dyDescent="0.2">
      <c r="A62" s="9"/>
      <c r="B62" s="8"/>
      <c r="C62" s="16"/>
      <c r="D62" s="20"/>
      <c r="E62" s="18"/>
      <c r="G62" s="4"/>
    </row>
    <row r="63" spans="1:7" x14ac:dyDescent="0.2">
      <c r="A63" s="11"/>
      <c r="B63" s="4"/>
      <c r="C63" s="15"/>
      <c r="D63" s="19"/>
      <c r="E63" s="18"/>
    </row>
    <row r="64" spans="1:7" x14ac:dyDescent="0.2">
      <c r="A64" s="9"/>
      <c r="B64" s="4"/>
      <c r="C64" s="7"/>
      <c r="D64" s="7"/>
      <c r="E64" s="7"/>
      <c r="G64" s="4"/>
    </row>
    <row r="65" spans="1:7" x14ac:dyDescent="0.2">
      <c r="A65" s="9"/>
      <c r="B65" s="4"/>
      <c r="C65" s="7"/>
      <c r="D65" s="17"/>
      <c r="E65" s="18"/>
      <c r="G65" s="4"/>
    </row>
  </sheetData>
  <phoneticPr fontId="5" type="noConversion"/>
  <pageMargins left="0.39305555555555555" right="0.39305555555555555" top="0.78680555555555554" bottom="0.78680555555555554" header="0.5" footer="0.75"/>
  <pageSetup orientation="portrait" r:id="rId1"/>
  <headerFooter alignWithMargins="0"/>
  <rowBreaks count="1" manualBreakCount="1">
    <brk id="69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27"/>
  <sheetViews>
    <sheetView tabSelected="1" zoomScale="110" zoomScaleNormal="110" workbookViewId="0">
      <selection activeCell="A113" sqref="A113"/>
    </sheetView>
  </sheetViews>
  <sheetFormatPr defaultRowHeight="12.75" x14ac:dyDescent="0.2"/>
  <cols>
    <col min="1" max="1" width="27.42578125" customWidth="1"/>
    <col min="2" max="3" width="11.7109375" customWidth="1"/>
    <col min="4" max="5" width="11.7109375" hidden="1" customWidth="1"/>
    <col min="6" max="7" width="11.7109375" customWidth="1"/>
    <col min="8" max="17" width="11.7109375" hidden="1" customWidth="1"/>
    <col min="18" max="20" width="11.7109375" customWidth="1"/>
    <col min="21" max="21" width="1.7109375" customWidth="1"/>
    <col min="22" max="22" width="41.5703125" customWidth="1"/>
    <col min="23" max="23" width="11.7109375" customWidth="1"/>
    <col min="24" max="24" width="10.140625" customWidth="1"/>
    <col min="25" max="25" width="10.28515625" customWidth="1"/>
    <col min="26" max="26" width="10.140625" bestFit="1" customWidth="1"/>
    <col min="27" max="27" width="0" hidden="1" customWidth="1"/>
    <col min="28" max="28" width="10.140625" hidden="1" customWidth="1"/>
    <col min="29" max="30" width="0" hidden="1" customWidth="1"/>
  </cols>
  <sheetData>
    <row r="1" spans="1:30" ht="18" x14ac:dyDescent="0.25">
      <c r="A1" s="10" t="s">
        <v>169</v>
      </c>
      <c r="B1" s="4"/>
      <c r="C1" s="4"/>
      <c r="D1" s="4"/>
      <c r="E1" s="4"/>
      <c r="F1" s="4"/>
      <c r="G1" s="5"/>
      <c r="H1" s="4"/>
      <c r="I1" s="4"/>
      <c r="J1" s="4"/>
      <c r="K1" s="4"/>
      <c r="L1" s="2"/>
      <c r="S1" s="4"/>
    </row>
    <row r="2" spans="1:30" x14ac:dyDescent="0.2">
      <c r="A2" s="1" t="s">
        <v>246</v>
      </c>
      <c r="B2" s="4"/>
      <c r="C2" s="4"/>
      <c r="D2" s="4"/>
      <c r="E2" s="4"/>
      <c r="F2" s="4"/>
      <c r="G2" s="4"/>
      <c r="H2" s="4"/>
      <c r="I2" s="4"/>
      <c r="J2" s="4"/>
      <c r="K2" s="4"/>
      <c r="L2" s="2"/>
      <c r="S2" s="4"/>
    </row>
    <row r="3" spans="1:30" x14ac:dyDescent="0.2">
      <c r="A3" s="36"/>
      <c r="B3" s="4"/>
      <c r="C3" s="4"/>
      <c r="D3" s="4"/>
      <c r="E3" s="4"/>
      <c r="F3" s="4"/>
      <c r="G3" s="4"/>
      <c r="H3" s="4"/>
      <c r="I3" s="4"/>
      <c r="J3" s="4"/>
      <c r="K3" s="4"/>
      <c r="L3" s="2"/>
      <c r="S3" s="4"/>
    </row>
    <row r="4" spans="1:30" x14ac:dyDescent="0.2">
      <c r="A4" s="4"/>
      <c r="B4" s="6">
        <v>2022</v>
      </c>
      <c r="C4" s="46">
        <v>2023</v>
      </c>
      <c r="D4" s="6">
        <v>2023</v>
      </c>
      <c r="E4" s="6"/>
      <c r="F4" s="6">
        <v>2023</v>
      </c>
      <c r="G4" s="46">
        <v>2023</v>
      </c>
      <c r="H4" s="46">
        <v>2023</v>
      </c>
      <c r="I4" s="6">
        <v>2023</v>
      </c>
      <c r="J4" s="6">
        <v>2023</v>
      </c>
      <c r="K4" s="6">
        <v>2023</v>
      </c>
      <c r="L4" s="6">
        <v>2023</v>
      </c>
      <c r="M4" s="6">
        <v>2023</v>
      </c>
      <c r="N4" s="6">
        <v>2023</v>
      </c>
      <c r="O4" s="6">
        <v>2023</v>
      </c>
      <c r="P4" s="6">
        <v>2023</v>
      </c>
      <c r="Q4" s="6">
        <v>2023</v>
      </c>
      <c r="R4" s="81">
        <v>2023</v>
      </c>
      <c r="S4" s="46">
        <v>2023</v>
      </c>
      <c r="T4" s="46">
        <v>2023</v>
      </c>
      <c r="U4" s="6"/>
      <c r="V4" s="4"/>
      <c r="W4" s="41" t="s">
        <v>74</v>
      </c>
      <c r="X4" s="42" t="s">
        <v>74</v>
      </c>
      <c r="Y4" s="44" t="s">
        <v>74</v>
      </c>
      <c r="Z4" s="42" t="s">
        <v>74</v>
      </c>
      <c r="AA4" s="42" t="s">
        <v>170</v>
      </c>
      <c r="AB4" s="42" t="s">
        <v>74</v>
      </c>
      <c r="AC4" s="44" t="s">
        <v>74</v>
      </c>
      <c r="AD4" s="42" t="s">
        <v>74</v>
      </c>
    </row>
    <row r="5" spans="1:30" x14ac:dyDescent="0.2">
      <c r="A5" s="4"/>
      <c r="B5" s="28" t="s">
        <v>31</v>
      </c>
      <c r="C5" s="51" t="s">
        <v>113</v>
      </c>
      <c r="D5" s="28" t="s">
        <v>150</v>
      </c>
      <c r="E5" s="28"/>
      <c r="F5" s="28" t="s">
        <v>28</v>
      </c>
      <c r="G5" s="56" t="s">
        <v>25</v>
      </c>
      <c r="H5" s="51" t="s">
        <v>55</v>
      </c>
      <c r="I5" s="28" t="s">
        <v>61</v>
      </c>
      <c r="J5" s="28" t="s">
        <v>30</v>
      </c>
      <c r="K5" s="28" t="s">
        <v>172</v>
      </c>
      <c r="L5" s="28" t="s">
        <v>57</v>
      </c>
      <c r="M5" s="28" t="s">
        <v>57</v>
      </c>
      <c r="N5" s="28" t="s">
        <v>149</v>
      </c>
      <c r="O5" s="28" t="s">
        <v>174</v>
      </c>
      <c r="P5" s="28" t="s">
        <v>123</v>
      </c>
      <c r="Q5" s="28" t="s">
        <v>31</v>
      </c>
      <c r="R5" s="82" t="s">
        <v>31</v>
      </c>
      <c r="S5" s="69" t="s">
        <v>31</v>
      </c>
      <c r="T5" s="63" t="s">
        <v>164</v>
      </c>
      <c r="U5" s="6"/>
      <c r="V5" s="4"/>
      <c r="W5" s="41" t="s">
        <v>75</v>
      </c>
      <c r="X5" s="42" t="s">
        <v>77</v>
      </c>
      <c r="Y5" s="44" t="s">
        <v>79</v>
      </c>
      <c r="Z5" s="42">
        <v>2023</v>
      </c>
      <c r="AB5" s="42" t="s">
        <v>77</v>
      </c>
      <c r="AC5" s="44" t="s">
        <v>79</v>
      </c>
      <c r="AD5" s="42">
        <v>2021</v>
      </c>
    </row>
    <row r="6" spans="1:30" x14ac:dyDescent="0.2">
      <c r="A6" s="9" t="s">
        <v>20</v>
      </c>
      <c r="B6" s="6" t="s">
        <v>26</v>
      </c>
      <c r="C6" s="46"/>
      <c r="D6" s="6" t="s">
        <v>90</v>
      </c>
      <c r="E6" s="6"/>
      <c r="F6" s="6" t="s">
        <v>29</v>
      </c>
      <c r="G6" s="57" t="s">
        <v>26</v>
      </c>
      <c r="H6" s="46" t="s">
        <v>56</v>
      </c>
      <c r="I6" s="6" t="s">
        <v>60</v>
      </c>
      <c r="J6" s="6"/>
      <c r="K6" s="6" t="s">
        <v>173</v>
      </c>
      <c r="L6" s="6" t="s">
        <v>62</v>
      </c>
      <c r="M6" s="6" t="s">
        <v>70</v>
      </c>
      <c r="N6" s="6"/>
      <c r="O6" s="6" t="s">
        <v>175</v>
      </c>
      <c r="P6" s="6" t="s">
        <v>124</v>
      </c>
      <c r="Q6" s="6" t="s">
        <v>65</v>
      </c>
      <c r="R6" s="81" t="s">
        <v>33</v>
      </c>
      <c r="S6" s="68" t="s">
        <v>26</v>
      </c>
      <c r="T6" s="46" t="s">
        <v>67</v>
      </c>
      <c r="U6" s="6"/>
      <c r="V6" s="1" t="s">
        <v>148</v>
      </c>
      <c r="W6" s="41" t="s">
        <v>73</v>
      </c>
      <c r="X6" s="42" t="s">
        <v>78</v>
      </c>
      <c r="Y6" s="44" t="s">
        <v>78</v>
      </c>
      <c r="Z6" s="66"/>
      <c r="AB6" s="42" t="s">
        <v>78</v>
      </c>
      <c r="AC6" s="44" t="s">
        <v>78</v>
      </c>
      <c r="AD6" s="66"/>
    </row>
    <row r="7" spans="1:30" x14ac:dyDescent="0.2">
      <c r="A7" s="4"/>
      <c r="B7" s="7"/>
      <c r="C7" s="45"/>
      <c r="D7" s="4"/>
      <c r="E7" s="4"/>
      <c r="F7" s="4"/>
      <c r="G7" s="58"/>
      <c r="H7" s="45"/>
      <c r="I7" s="4"/>
      <c r="J7" s="4"/>
      <c r="K7" s="4"/>
      <c r="L7" s="4"/>
      <c r="M7" s="4"/>
      <c r="N7" s="4"/>
      <c r="O7" s="4"/>
      <c r="P7" s="4"/>
      <c r="Q7" s="4"/>
      <c r="R7" s="59"/>
      <c r="S7" s="70"/>
      <c r="T7" s="47"/>
      <c r="U7" s="4"/>
      <c r="V7" s="4"/>
    </row>
    <row r="8" spans="1:30" x14ac:dyDescent="0.2">
      <c r="A8" s="1" t="s">
        <v>21</v>
      </c>
      <c r="B8" s="7"/>
      <c r="C8" s="47"/>
      <c r="D8" s="7"/>
      <c r="E8" s="7"/>
      <c r="F8" s="4"/>
      <c r="G8" s="58"/>
      <c r="H8" s="45"/>
      <c r="I8" s="4"/>
      <c r="J8" s="4"/>
      <c r="K8" s="4"/>
      <c r="L8" s="4"/>
      <c r="M8" s="4"/>
      <c r="N8" s="4"/>
      <c r="O8" s="4"/>
      <c r="P8" s="4"/>
      <c r="Q8" s="4"/>
      <c r="R8" s="59"/>
      <c r="S8" s="70"/>
      <c r="T8" s="47"/>
      <c r="U8" s="4"/>
      <c r="V8" s="4"/>
    </row>
    <row r="9" spans="1:30" x14ac:dyDescent="0.2">
      <c r="A9" s="4" t="s">
        <v>30</v>
      </c>
      <c r="B9" s="7">
        <v>93021</v>
      </c>
      <c r="C9" s="45"/>
      <c r="D9" s="4"/>
      <c r="E9" s="4"/>
      <c r="F9" s="4"/>
      <c r="G9" s="59"/>
      <c r="H9" s="47">
        <f>0.0125*Z9</f>
        <v>1174.3901250000001</v>
      </c>
      <c r="I9" s="7"/>
      <c r="J9" s="7">
        <f>X9-H9-L9-M9-N9-P9</f>
        <v>77509.748249999975</v>
      </c>
      <c r="K9" s="7"/>
      <c r="L9" s="7">
        <f>(X9)*0.0125</f>
        <v>1174.3901250000001</v>
      </c>
      <c r="M9" s="7">
        <f>(X9)*0.05</f>
        <v>4697.5605000000005</v>
      </c>
      <c r="N9" s="7">
        <f>0.05*Z9</f>
        <v>4697.5605000000005</v>
      </c>
      <c r="O9" s="7"/>
      <c r="P9" s="22">
        <f>Z9*0.05</f>
        <v>4697.5605000000005</v>
      </c>
      <c r="Q9" s="7"/>
      <c r="R9" s="59">
        <f t="shared" ref="R9:R14" si="0">H9+I9+J9+L9+M9+N9+O9+P9+Q9</f>
        <v>93951.21</v>
      </c>
      <c r="S9" s="70">
        <f t="shared" ref="S9:S16" si="1">G9+R9</f>
        <v>93951.21</v>
      </c>
      <c r="T9" s="47">
        <f>S9-B9</f>
        <v>930.2100000000064</v>
      </c>
      <c r="U9" s="7"/>
      <c r="V9" s="4" t="s">
        <v>157</v>
      </c>
      <c r="W9" s="29">
        <f t="shared" ref="W9:W28" si="2">X9/Y9-1</f>
        <v>1.0000000000000009E-2</v>
      </c>
      <c r="X9" s="15">
        <f>Y9*1.01</f>
        <v>93951.21</v>
      </c>
      <c r="Y9" s="15">
        <v>93021</v>
      </c>
      <c r="Z9" s="15">
        <f>X9</f>
        <v>93951.21</v>
      </c>
      <c r="AA9" s="15"/>
      <c r="AB9" s="15">
        <f>AC9+900+804</f>
        <v>88591.5</v>
      </c>
      <c r="AC9" s="15">
        <v>86887.5</v>
      </c>
      <c r="AD9" s="15">
        <v>88591.5</v>
      </c>
    </row>
    <row r="10" spans="1:30" x14ac:dyDescent="0.2">
      <c r="A10" s="4" t="s">
        <v>117</v>
      </c>
      <c r="B10" s="7">
        <v>68889.789999999994</v>
      </c>
      <c r="C10" s="45"/>
      <c r="D10" s="4"/>
      <c r="E10" s="4"/>
      <c r="F10" s="4"/>
      <c r="G10" s="58"/>
      <c r="H10" s="52">
        <f>((Y10/24)*17+(X10/24*7))*0.0125</f>
        <v>904.52500000000009</v>
      </c>
      <c r="I10" s="22">
        <f>((Y10/24)*17)+(X10/24*7)-H10-L10-M10-N10-P10</f>
        <v>45226.250000000007</v>
      </c>
      <c r="J10" s="22"/>
      <c r="K10" s="22"/>
      <c r="L10" s="22">
        <f>((Y10/24)*17+(X10/24*7))*0.0125</f>
        <v>904.52500000000009</v>
      </c>
      <c r="M10" s="22">
        <f>((Y10/24)*17+(X10/24*7))*0.05</f>
        <v>3618.1000000000004</v>
      </c>
      <c r="N10" s="22">
        <f>Z10*0.25</f>
        <v>18090.5</v>
      </c>
      <c r="O10" s="22"/>
      <c r="P10" s="22">
        <f>Z10*0.05</f>
        <v>3618.1000000000004</v>
      </c>
      <c r="Q10" s="4"/>
      <c r="R10" s="59">
        <f t="shared" si="0"/>
        <v>72362.000000000015</v>
      </c>
      <c r="S10" s="70">
        <f t="shared" si="1"/>
        <v>72362.000000000015</v>
      </c>
      <c r="T10" s="47">
        <f>S10-B10</f>
        <v>3472.210000000021</v>
      </c>
      <c r="U10" s="7"/>
      <c r="V10" s="4" t="s">
        <v>158</v>
      </c>
      <c r="W10" s="78">
        <f t="shared" si="2"/>
        <v>1.9009768909022728E-2</v>
      </c>
      <c r="X10" s="15">
        <v>73331</v>
      </c>
      <c r="Y10" s="15">
        <v>71963</v>
      </c>
      <c r="Z10" s="15">
        <f>(Y10/24*17)+X10/24*7</f>
        <v>72362</v>
      </c>
      <c r="AA10" s="15">
        <v>3600</v>
      </c>
      <c r="AB10" s="15">
        <f>AC10+2762</f>
        <v>67682</v>
      </c>
      <c r="AC10" s="15">
        <f>64920</f>
        <v>64920</v>
      </c>
      <c r="AD10" s="15">
        <f>(AC10/24*17)+AB10/24*7</f>
        <v>65725.583333333343</v>
      </c>
    </row>
    <row r="11" spans="1:30" x14ac:dyDescent="0.2">
      <c r="A11" t="s">
        <v>222</v>
      </c>
      <c r="B11" s="7">
        <v>26580.69</v>
      </c>
      <c r="C11" s="45"/>
      <c r="D11" s="4"/>
      <c r="E11" s="4"/>
      <c r="F11" s="4"/>
      <c r="G11" s="58"/>
      <c r="H11" s="47">
        <f>(Y11/24*21+X11/24*3)*0.3</f>
        <v>17421.412499999999</v>
      </c>
      <c r="I11" s="7"/>
      <c r="J11" s="7"/>
      <c r="K11" s="7"/>
      <c r="L11" s="4"/>
      <c r="M11" s="4"/>
      <c r="N11" s="22">
        <f>Z11*0.7</f>
        <v>40649.962499999994</v>
      </c>
      <c r="O11" s="4"/>
      <c r="P11" s="4"/>
      <c r="Q11" s="7"/>
      <c r="R11" s="59">
        <f t="shared" si="0"/>
        <v>58071.374999999993</v>
      </c>
      <c r="S11" s="70">
        <f t="shared" si="1"/>
        <v>58071.374999999993</v>
      </c>
      <c r="T11" s="47">
        <f t="shared" ref="T11:T33" si="3">S11-B11</f>
        <v>31490.684999999994</v>
      </c>
      <c r="U11" s="7"/>
      <c r="V11" s="4" t="s">
        <v>158</v>
      </c>
      <c r="W11" s="78">
        <f t="shared" si="2"/>
        <v>2.7144708423326058E-2</v>
      </c>
      <c r="X11" s="15">
        <v>59446</v>
      </c>
      <c r="Y11" s="15">
        <v>57875</v>
      </c>
      <c r="Z11" s="79">
        <f>Y11/24*21+X11/24*3</f>
        <v>58071.375</v>
      </c>
      <c r="AA11" s="15"/>
      <c r="AB11" s="15">
        <f>AC11+3816</f>
        <v>52488</v>
      </c>
      <c r="AC11" s="15">
        <v>48672</v>
      </c>
      <c r="AD11" s="79">
        <f>AC11/24*21+AB11/24*3</f>
        <v>49149</v>
      </c>
    </row>
    <row r="12" spans="1:30" x14ac:dyDescent="0.2">
      <c r="A12" s="12" t="s">
        <v>126</v>
      </c>
      <c r="B12" s="7">
        <v>46280</v>
      </c>
      <c r="C12" s="47"/>
      <c r="D12" s="7"/>
      <c r="E12" s="7"/>
      <c r="F12" s="7"/>
      <c r="G12" s="59"/>
      <c r="H12" s="47"/>
      <c r="I12" s="7"/>
      <c r="J12" s="7"/>
      <c r="K12" s="7"/>
      <c r="L12" s="7"/>
      <c r="M12" s="7"/>
      <c r="N12" s="7"/>
      <c r="O12" s="7"/>
      <c r="P12" s="7">
        <f>Y12/24*16+X12/24*8</f>
        <v>50637.333333333328</v>
      </c>
      <c r="Q12" s="7"/>
      <c r="R12" s="59">
        <f t="shared" si="0"/>
        <v>50637.333333333328</v>
      </c>
      <c r="S12" s="70">
        <f t="shared" si="1"/>
        <v>50637.333333333328</v>
      </c>
      <c r="T12" s="47">
        <f t="shared" si="3"/>
        <v>4357.3333333333285</v>
      </c>
      <c r="U12" s="7"/>
      <c r="V12" s="4" t="s">
        <v>159</v>
      </c>
      <c r="W12" s="78">
        <f t="shared" si="2"/>
        <v>2.9394169026442762E-2</v>
      </c>
      <c r="X12" s="15">
        <v>51620</v>
      </c>
      <c r="Y12" s="15">
        <v>50146</v>
      </c>
      <c r="Z12" s="15">
        <f>Y12/24*16+X12/24*8</f>
        <v>50637.333333333328</v>
      </c>
      <c r="AA12" s="15"/>
      <c r="AB12" s="15">
        <f>AC12+4327</f>
        <v>44347</v>
      </c>
      <c r="AC12" s="15">
        <v>40020</v>
      </c>
      <c r="AD12" s="15">
        <f>AC12/24*16+AB12/24*8</f>
        <v>41462.333333333336</v>
      </c>
    </row>
    <row r="13" spans="1:30" x14ac:dyDescent="0.2">
      <c r="A13" s="4" t="s">
        <v>63</v>
      </c>
      <c r="B13" s="7">
        <v>46215</v>
      </c>
      <c r="C13" s="64"/>
      <c r="D13" s="38"/>
      <c r="E13" s="38"/>
      <c r="F13" s="7"/>
      <c r="G13" s="59"/>
      <c r="H13" s="47"/>
      <c r="I13" s="7"/>
      <c r="J13" s="7"/>
      <c r="K13" s="7"/>
      <c r="L13" s="7">
        <f>Z13</f>
        <v>48796</v>
      </c>
      <c r="M13" s="7"/>
      <c r="N13" s="7"/>
      <c r="O13" s="7"/>
      <c r="P13" s="7"/>
      <c r="Q13" s="7"/>
      <c r="R13" s="59">
        <f t="shared" si="0"/>
        <v>48796</v>
      </c>
      <c r="S13" s="70">
        <f t="shared" si="1"/>
        <v>48796</v>
      </c>
      <c r="T13" s="47">
        <f t="shared" si="3"/>
        <v>2581</v>
      </c>
      <c r="U13" s="7"/>
      <c r="V13" s="4" t="s">
        <v>158</v>
      </c>
      <c r="W13" s="78">
        <f t="shared" si="2"/>
        <v>3.6120732310737313E-2</v>
      </c>
      <c r="X13" s="15">
        <v>50256</v>
      </c>
      <c r="Y13" s="15">
        <v>48504</v>
      </c>
      <c r="Z13" s="79">
        <f>(X13/12*2)+(Y13/12*10)</f>
        <v>48796</v>
      </c>
      <c r="AA13" s="15"/>
      <c r="AB13" s="15">
        <f>AC13+3342</f>
        <v>51390</v>
      </c>
      <c r="AC13" s="15">
        <v>48048</v>
      </c>
      <c r="AD13" s="79">
        <f>AC13/24*9+AB13/24*15</f>
        <v>50136.75</v>
      </c>
    </row>
    <row r="14" spans="1:30" x14ac:dyDescent="0.2">
      <c r="A14" s="4" t="s">
        <v>89</v>
      </c>
      <c r="B14" s="7">
        <v>36751.370000000003</v>
      </c>
      <c r="C14" s="65"/>
      <c r="F14" s="7"/>
      <c r="G14" s="59"/>
      <c r="H14" s="47">
        <f>Z14*0.2</f>
        <v>8092.1466666666674</v>
      </c>
      <c r="I14" s="7"/>
      <c r="J14" s="7"/>
      <c r="K14" s="7"/>
      <c r="L14" s="7"/>
      <c r="M14" s="7">
        <f>(Y14/24*17+X14/24*7)*0.8-H14</f>
        <v>32368.58666666667</v>
      </c>
      <c r="N14" s="7"/>
      <c r="O14" s="7"/>
      <c r="P14" s="7"/>
      <c r="Q14" s="7"/>
      <c r="R14" s="59">
        <f t="shared" si="0"/>
        <v>40460.733333333337</v>
      </c>
      <c r="S14" s="70">
        <f t="shared" si="1"/>
        <v>40460.733333333337</v>
      </c>
      <c r="T14" s="47">
        <f>S14-B14</f>
        <v>3709.3633333333346</v>
      </c>
      <c r="U14" s="7"/>
      <c r="V14" s="4" t="s">
        <v>162</v>
      </c>
      <c r="W14" s="78">
        <f>X14/Y14-1</f>
        <v>2.9394169026442762E-2</v>
      </c>
      <c r="X14" s="15">
        <v>51620</v>
      </c>
      <c r="Y14" s="15">
        <v>50146</v>
      </c>
      <c r="Z14" s="79">
        <f>(Y14/24*17+X14/24*7)*0.8</f>
        <v>40460.733333333337</v>
      </c>
      <c r="AA14" s="15"/>
      <c r="AB14" s="15">
        <f>AC14+4467</f>
        <v>44207</v>
      </c>
      <c r="AC14" s="15">
        <f>37040+900+1800</f>
        <v>39740</v>
      </c>
      <c r="AD14" s="79">
        <f>AC14/24*17+AB14/24*7</f>
        <v>41042.875</v>
      </c>
    </row>
    <row r="15" spans="1:30" x14ac:dyDescent="0.2">
      <c r="A15" s="4" t="s">
        <v>145</v>
      </c>
      <c r="B15" s="7">
        <v>38202.67</v>
      </c>
      <c r="C15" s="65"/>
      <c r="F15" s="7"/>
      <c r="G15" s="59"/>
      <c r="H15" s="47"/>
      <c r="I15" s="7"/>
      <c r="J15" s="7"/>
      <c r="K15" s="7">
        <f>Z15-L15-M15</f>
        <v>38858.300000000003</v>
      </c>
      <c r="L15" s="7">
        <f>Z15*0.0125</f>
        <v>498.18333333333339</v>
      </c>
      <c r="M15" s="89">
        <f>Z15*0.0125</f>
        <v>498.18333333333339</v>
      </c>
      <c r="P15" s="7"/>
      <c r="Q15" s="7"/>
      <c r="R15" s="59">
        <f>H15+I15+J15+K15+L15+M15+N15+O15+P15+Q15</f>
        <v>39854.666666666672</v>
      </c>
      <c r="S15" s="70">
        <f t="shared" si="1"/>
        <v>39854.666666666672</v>
      </c>
      <c r="T15" s="47">
        <f>S15-B15</f>
        <v>1651.9966666666733</v>
      </c>
      <c r="U15" s="7"/>
      <c r="V15" s="4" t="s">
        <v>159</v>
      </c>
      <c r="W15" s="78">
        <f>X15/Y15-1</f>
        <v>4.2031345410136423E-2</v>
      </c>
      <c r="X15" s="15">
        <v>40956</v>
      </c>
      <c r="Y15" s="15">
        <v>39304</v>
      </c>
      <c r="Z15" s="15">
        <f>Y15/24*16+X15/24*8</f>
        <v>39854.666666666672</v>
      </c>
      <c r="AA15" s="15"/>
      <c r="AB15" s="15">
        <v>37652</v>
      </c>
      <c r="AC15" s="15">
        <v>35900</v>
      </c>
      <c r="AD15" s="15">
        <f>AC15/24*16+AB15/24*8</f>
        <v>36484</v>
      </c>
    </row>
    <row r="16" spans="1:30" x14ac:dyDescent="0.2">
      <c r="A16" t="s">
        <v>135</v>
      </c>
      <c r="B16" s="7">
        <v>42567.54</v>
      </c>
      <c r="C16" s="65"/>
      <c r="F16" s="7"/>
      <c r="G16" s="59"/>
      <c r="H16" s="47">
        <f>Z16*0.05</f>
        <v>2130.4</v>
      </c>
      <c r="I16" s="7"/>
      <c r="J16" s="7"/>
      <c r="K16" s="7"/>
      <c r="L16" s="7">
        <f>Z16*0.0125+20000</f>
        <v>20532.599999999999</v>
      </c>
      <c r="M16" s="7"/>
      <c r="N16" s="7">
        <f>Z16*0.1</f>
        <v>4260.8</v>
      </c>
      <c r="O16" s="7">
        <f>Z16-H16-I16-J16-K16-L16-M16-N16-P16-Q16</f>
        <v>15684.2</v>
      </c>
      <c r="P16" s="7"/>
      <c r="Q16" s="7"/>
      <c r="R16" s="59">
        <f>H16+I16+J16+L16+M16+N16+O16+P16+Q16</f>
        <v>42608</v>
      </c>
      <c r="S16" s="70">
        <f t="shared" si="1"/>
        <v>42608</v>
      </c>
      <c r="T16" s="47">
        <f>S16-B16</f>
        <v>40.459999999999127</v>
      </c>
      <c r="U16" s="7"/>
      <c r="V16" s="4" t="s">
        <v>171</v>
      </c>
      <c r="W16" s="78">
        <v>0</v>
      </c>
      <c r="X16" s="15"/>
      <c r="Y16" s="15">
        <v>42608</v>
      </c>
      <c r="Z16" s="79">
        <f>Y16/24*24+X16/24*0</f>
        <v>42608</v>
      </c>
      <c r="AA16" s="15"/>
      <c r="AB16" s="15"/>
      <c r="AC16" s="15"/>
      <c r="AD16" s="79">
        <v>42366</v>
      </c>
    </row>
    <row r="17" spans="1:30" x14ac:dyDescent="0.2">
      <c r="A17" s="4"/>
      <c r="B17" s="7"/>
      <c r="C17" s="65"/>
      <c r="F17" s="7"/>
      <c r="G17" s="59"/>
      <c r="H17" s="47"/>
      <c r="I17" s="7"/>
      <c r="J17" s="7"/>
      <c r="K17" s="7"/>
      <c r="L17" s="7"/>
      <c r="M17" s="7"/>
      <c r="N17" s="7"/>
      <c r="O17" s="7"/>
      <c r="P17" s="7"/>
      <c r="Q17" s="7"/>
      <c r="R17" s="59"/>
      <c r="S17" s="70"/>
      <c r="T17" s="47"/>
      <c r="U17" s="7"/>
      <c r="V17" s="4"/>
      <c r="W17" s="78"/>
      <c r="X17" s="15"/>
      <c r="Y17" s="15"/>
      <c r="Z17" s="79"/>
      <c r="AA17" s="15"/>
      <c r="AB17" s="15"/>
      <c r="AC17" s="15"/>
      <c r="AD17" s="79"/>
    </row>
    <row r="18" spans="1:30" x14ac:dyDescent="0.2">
      <c r="A18" s="4" t="s">
        <v>156</v>
      </c>
      <c r="B18" s="7">
        <v>0</v>
      </c>
      <c r="C18" s="64"/>
      <c r="D18" s="38"/>
      <c r="E18" s="38"/>
      <c r="F18" s="7"/>
      <c r="G18" s="59"/>
      <c r="H18" s="47"/>
      <c r="I18" s="7"/>
      <c r="J18" s="7"/>
      <c r="K18" s="7"/>
      <c r="L18" s="7"/>
      <c r="M18" s="7"/>
      <c r="N18" s="7">
        <f>Z18</f>
        <v>71879.5</v>
      </c>
      <c r="O18" s="7"/>
      <c r="P18" s="7"/>
      <c r="Q18" s="7"/>
      <c r="R18" s="59">
        <f>H18+I18+J18+L18+M18+N18+O18+P18+Q18</f>
        <v>71879.5</v>
      </c>
      <c r="S18" s="70">
        <f>Z18</f>
        <v>71879.5</v>
      </c>
      <c r="T18" s="47">
        <f>S18-B18</f>
        <v>71879.5</v>
      </c>
      <c r="U18" s="7"/>
      <c r="V18" s="4" t="s">
        <v>158</v>
      </c>
      <c r="W18" s="78">
        <f t="shared" si="2"/>
        <v>1.9488054130377019E-2</v>
      </c>
      <c r="X18" s="15">
        <v>72925</v>
      </c>
      <c r="Y18" s="15">
        <v>71531</v>
      </c>
      <c r="Z18" s="79">
        <f>(X18/12*3)+(Y18/12*9)</f>
        <v>71879.5</v>
      </c>
      <c r="AA18" s="15"/>
      <c r="AB18" s="15"/>
      <c r="AC18" s="15"/>
      <c r="AD18" s="79"/>
    </row>
    <row r="19" spans="1:30" x14ac:dyDescent="0.2">
      <c r="A19" s="4" t="s">
        <v>160</v>
      </c>
      <c r="B19" s="7">
        <v>0</v>
      </c>
      <c r="C19" s="65"/>
      <c r="F19" s="7"/>
      <c r="G19" s="59"/>
      <c r="H19" s="47"/>
      <c r="I19" s="7"/>
      <c r="J19" s="7"/>
      <c r="K19" s="7"/>
      <c r="L19" s="7"/>
      <c r="N19" s="7">
        <f>Z19</f>
        <v>42500.166666666664</v>
      </c>
      <c r="P19" s="7"/>
      <c r="Q19" s="7"/>
      <c r="R19" s="59">
        <f>H19+I19+J19+L19+M19+N19+O19+P19+Q19</f>
        <v>42500.166666666664</v>
      </c>
      <c r="S19" s="70">
        <f>Z19</f>
        <v>42500.166666666664</v>
      </c>
      <c r="T19" s="47">
        <f>S19-B19</f>
        <v>42500.166666666664</v>
      </c>
      <c r="U19" s="7"/>
      <c r="V19" s="4" t="s">
        <v>158</v>
      </c>
      <c r="W19" s="78">
        <f t="shared" si="2"/>
        <v>3.918777872663437E-2</v>
      </c>
      <c r="X19" s="15">
        <v>43808</v>
      </c>
      <c r="Y19" s="15">
        <v>42156</v>
      </c>
      <c r="Z19" s="15">
        <f>Y19/24*19+X19/24*5</f>
        <v>42500.166666666664</v>
      </c>
      <c r="AA19" s="15"/>
      <c r="AB19" s="15"/>
      <c r="AC19" s="15"/>
      <c r="AD19" s="15"/>
    </row>
    <row r="20" spans="1:30" x14ac:dyDescent="0.2">
      <c r="A20" s="4" t="s">
        <v>161</v>
      </c>
      <c r="B20" s="7">
        <v>0</v>
      </c>
      <c r="C20" s="65"/>
      <c r="F20" s="7"/>
      <c r="G20" s="47"/>
      <c r="H20" s="47"/>
      <c r="I20" s="7"/>
      <c r="J20" s="7"/>
      <c r="K20" s="7"/>
      <c r="L20" s="7"/>
      <c r="N20" s="7">
        <f>Z20</f>
        <v>45582.666666666672</v>
      </c>
      <c r="P20" s="7"/>
      <c r="Q20" s="7"/>
      <c r="R20" s="59">
        <f>H20+I20+J20+L20+M20+N20+O20+P20+Q20</f>
        <v>45582.666666666672</v>
      </c>
      <c r="S20" s="70">
        <f>Z20</f>
        <v>45582.666666666672</v>
      </c>
      <c r="T20" s="47">
        <f>S20-B20</f>
        <v>45582.666666666672</v>
      </c>
      <c r="U20" s="7"/>
      <c r="V20" s="4" t="s">
        <v>158</v>
      </c>
      <c r="W20" s="78">
        <f>X20/Y20-1</f>
        <v>3.238011438627364E-2</v>
      </c>
      <c r="X20" s="15">
        <v>46932</v>
      </c>
      <c r="Y20" s="15">
        <v>45460</v>
      </c>
      <c r="Z20" s="15">
        <f>Y20/12*11+X20/12</f>
        <v>45582.666666666672</v>
      </c>
      <c r="AA20" s="15"/>
      <c r="AB20" s="15"/>
      <c r="AC20" s="15"/>
      <c r="AD20" s="15"/>
    </row>
    <row r="21" spans="1:30" x14ac:dyDescent="0.2">
      <c r="A21" s="4" t="s">
        <v>165</v>
      </c>
      <c r="B21" s="7">
        <v>37390.33</v>
      </c>
      <c r="C21" s="65"/>
      <c r="F21" s="7"/>
      <c r="G21" s="47"/>
      <c r="H21" s="47"/>
      <c r="I21" s="7"/>
      <c r="J21" s="7"/>
      <c r="K21" s="7"/>
      <c r="L21" s="7"/>
      <c r="N21" s="7">
        <f>Z21</f>
        <v>37858.5</v>
      </c>
      <c r="P21" s="7"/>
      <c r="Q21" s="7"/>
      <c r="R21" s="59">
        <f>H21+I21+J21+L21+M21+N21+O21+P21+Q21</f>
        <v>37858.5</v>
      </c>
      <c r="S21" s="70">
        <f>Z21</f>
        <v>37858.5</v>
      </c>
      <c r="T21" s="47">
        <f>S21-B21</f>
        <v>468.16999999999825</v>
      </c>
      <c r="U21" s="7"/>
      <c r="V21" s="4" t="s">
        <v>159</v>
      </c>
      <c r="W21" s="78">
        <f>X21/Y21-1</f>
        <v>4.3875491341761386E-2</v>
      </c>
      <c r="X21" s="15">
        <v>39304</v>
      </c>
      <c r="Y21" s="15">
        <v>37652</v>
      </c>
      <c r="Z21" s="15">
        <f>Y21/24*21+X21/24*3</f>
        <v>37858.5</v>
      </c>
      <c r="AA21" s="15"/>
      <c r="AB21" s="15"/>
      <c r="AC21" s="15"/>
      <c r="AD21" s="15"/>
    </row>
    <row r="22" spans="1:30" x14ac:dyDescent="0.2">
      <c r="A22" s="4"/>
      <c r="B22" s="7"/>
      <c r="C22" s="65"/>
      <c r="F22" s="7"/>
      <c r="G22" s="47"/>
      <c r="H22" s="47"/>
      <c r="I22" s="7"/>
      <c r="J22" s="7"/>
      <c r="K22" s="7"/>
      <c r="L22" s="7"/>
      <c r="N22" s="7"/>
      <c r="P22" s="7"/>
      <c r="Q22" s="7"/>
      <c r="R22" s="59"/>
      <c r="S22" s="70"/>
      <c r="T22" s="47"/>
      <c r="U22" s="7"/>
      <c r="V22" s="4"/>
      <c r="W22" s="78"/>
      <c r="X22" s="15"/>
      <c r="Y22" s="15"/>
      <c r="Z22" s="15"/>
      <c r="AA22" s="15"/>
      <c r="AB22" s="15"/>
      <c r="AC22" s="15"/>
      <c r="AD22" s="15"/>
    </row>
    <row r="23" spans="1:30" x14ac:dyDescent="0.2">
      <c r="A23" s="4" t="s">
        <v>163</v>
      </c>
      <c r="B23" s="7">
        <v>52008</v>
      </c>
      <c r="C23" s="47">
        <f>Z23*0.15</f>
        <v>6224.8499999999995</v>
      </c>
      <c r="D23" s="7"/>
      <c r="E23" s="7"/>
      <c r="F23" s="7">
        <f>Z23*0.85</f>
        <v>35274.15</v>
      </c>
      <c r="G23" s="47">
        <f>C23+D23+F23</f>
        <v>41499</v>
      </c>
      <c r="H23" s="47"/>
      <c r="I23" s="7"/>
      <c r="J23" s="7"/>
      <c r="K23" s="7"/>
      <c r="L23" s="7"/>
      <c r="M23" s="7"/>
      <c r="N23" s="7"/>
      <c r="O23" s="7"/>
      <c r="P23" s="7"/>
      <c r="Q23" s="7"/>
      <c r="R23" s="59">
        <f>H23+I23+J23+L23+M23+N23+O23+P23+Q23</f>
        <v>0</v>
      </c>
      <c r="S23" s="70">
        <f>G23+R23</f>
        <v>41499</v>
      </c>
      <c r="T23" s="47">
        <f t="shared" si="3"/>
        <v>-10509</v>
      </c>
      <c r="U23" s="7"/>
      <c r="V23" s="4" t="s">
        <v>166</v>
      </c>
      <c r="W23" s="78">
        <v>0</v>
      </c>
      <c r="X23" s="15"/>
      <c r="Y23" s="15">
        <f>53532+1800</f>
        <v>55332</v>
      </c>
      <c r="Z23" s="15">
        <f>(Y23/12*9)</f>
        <v>41499</v>
      </c>
      <c r="AA23" s="15"/>
      <c r="AB23" s="15">
        <f>AC23+2076</f>
        <v>42876</v>
      </c>
      <c r="AC23" s="15">
        <v>40800</v>
      </c>
      <c r="AD23" s="15">
        <f>AC23/12*12</f>
        <v>40800</v>
      </c>
    </row>
    <row r="24" spans="1:30" x14ac:dyDescent="0.2">
      <c r="A24" s="4" t="s">
        <v>0</v>
      </c>
      <c r="B24" s="7">
        <v>45719.63</v>
      </c>
      <c r="C24" s="47">
        <f>Z24*0.15</f>
        <v>3780</v>
      </c>
      <c r="D24" s="7"/>
      <c r="E24" s="7"/>
      <c r="F24" s="7">
        <f>Z24*0.85</f>
        <v>21420</v>
      </c>
      <c r="G24" s="47">
        <f>C24+D24+F24</f>
        <v>25200</v>
      </c>
      <c r="H24" s="47"/>
      <c r="I24" s="7"/>
      <c r="J24" s="7"/>
      <c r="K24" s="7"/>
      <c r="L24" s="7"/>
      <c r="M24" s="7"/>
      <c r="N24" s="7"/>
      <c r="O24" s="7"/>
      <c r="P24" s="7"/>
      <c r="Q24" s="7"/>
      <c r="R24" s="59">
        <f>H24+I24+J24+L24+M24+N24+O24+P24+Q24</f>
        <v>0</v>
      </c>
      <c r="S24" s="70">
        <f>Z24</f>
        <v>25200</v>
      </c>
      <c r="T24" s="47">
        <f t="shared" si="3"/>
        <v>-20519.629999999997</v>
      </c>
      <c r="U24" s="7"/>
      <c r="V24" s="4" t="s">
        <v>167</v>
      </c>
      <c r="W24" s="78">
        <v>0</v>
      </c>
      <c r="X24" s="15"/>
      <c r="Y24" s="15">
        <v>43200</v>
      </c>
      <c r="Z24" s="15">
        <f>(Y24/12*7)</f>
        <v>25200</v>
      </c>
      <c r="AA24" s="15"/>
      <c r="AB24" s="15">
        <f>AC24+3318</f>
        <v>52014</v>
      </c>
      <c r="AC24" s="15">
        <v>48696</v>
      </c>
      <c r="AD24" s="15">
        <f>AC24/24*16+AB24/24*8</f>
        <v>49802</v>
      </c>
    </row>
    <row r="25" spans="1:30" x14ac:dyDescent="0.2">
      <c r="G25" s="94"/>
      <c r="H25" s="65"/>
      <c r="S25" s="70"/>
      <c r="AA25" s="15"/>
    </row>
    <row r="26" spans="1:30" x14ac:dyDescent="0.2">
      <c r="A26" s="4" t="s">
        <v>168</v>
      </c>
      <c r="B26" s="7">
        <v>48556</v>
      </c>
      <c r="C26" s="47">
        <f>(Y26/24*16+X26/24*8)*0.5</f>
        <v>27142</v>
      </c>
      <c r="D26" s="7"/>
      <c r="E26" s="7"/>
      <c r="F26" s="7">
        <f>(Y26/24*16+X26/24*8)*0.5</f>
        <v>27142</v>
      </c>
      <c r="G26" s="59">
        <f>C26+F26</f>
        <v>54284</v>
      </c>
      <c r="H26" s="47"/>
      <c r="I26" s="7"/>
      <c r="J26" s="7"/>
      <c r="K26" s="7"/>
      <c r="L26" s="7"/>
      <c r="P26" s="7"/>
      <c r="Q26" s="7"/>
      <c r="R26" s="59">
        <f t="shared" ref="R26:R33" si="4">H26+I26+J26+L26+M26+N26+O26+P26+Q26</f>
        <v>0</v>
      </c>
      <c r="S26" s="70">
        <f t="shared" ref="S26:S33" si="5">G26+R26</f>
        <v>54284</v>
      </c>
      <c r="T26" s="47">
        <f t="shared" si="3"/>
        <v>5728</v>
      </c>
      <c r="U26" s="7"/>
      <c r="V26" s="4" t="s">
        <v>158</v>
      </c>
      <c r="W26" s="78">
        <f t="shared" si="2"/>
        <v>2.9241071428571352E-2</v>
      </c>
      <c r="X26" s="15">
        <v>55332</v>
      </c>
      <c r="Y26" s="15">
        <v>53760</v>
      </c>
      <c r="Z26" s="15">
        <f>Y26/24*16+X26/24*8</f>
        <v>54284</v>
      </c>
      <c r="AA26" s="15"/>
      <c r="AB26" s="15">
        <f>AC26+1602</f>
        <v>45102</v>
      </c>
      <c r="AC26" s="15">
        <v>43500</v>
      </c>
      <c r="AD26" s="15">
        <f>AC26/24*16+AB26/24*8</f>
        <v>44034</v>
      </c>
    </row>
    <row r="27" spans="1:30" x14ac:dyDescent="0.2">
      <c r="A27" s="4" t="s">
        <v>144</v>
      </c>
      <c r="B27" s="7">
        <v>44086</v>
      </c>
      <c r="C27" s="47">
        <f>(Y27/12*3+X27/12*9)*0.5</f>
        <v>23282</v>
      </c>
      <c r="F27" s="7">
        <f>(Y27/12*3+X27/12*9)*0.5</f>
        <v>23282</v>
      </c>
      <c r="G27" s="59">
        <f>C27+F27</f>
        <v>46564</v>
      </c>
      <c r="H27" s="47"/>
      <c r="I27" s="7"/>
      <c r="J27" s="7"/>
      <c r="K27" s="7"/>
      <c r="L27" s="7"/>
      <c r="P27" s="7"/>
      <c r="Q27" s="7"/>
      <c r="R27" s="59">
        <f t="shared" si="4"/>
        <v>0</v>
      </c>
      <c r="S27" s="70">
        <f t="shared" si="5"/>
        <v>46564</v>
      </c>
      <c r="T27" s="47">
        <f t="shared" si="3"/>
        <v>2478</v>
      </c>
      <c r="U27" s="7"/>
      <c r="V27" s="4" t="s">
        <v>158</v>
      </c>
      <c r="W27" s="78">
        <f t="shared" si="2"/>
        <v>3.238011438627364E-2</v>
      </c>
      <c r="X27" s="15">
        <f>45732+1200</f>
        <v>46932</v>
      </c>
      <c r="Y27" s="15">
        <v>45460</v>
      </c>
      <c r="Z27" s="15">
        <f>Y27/12*3+X27/12*9</f>
        <v>46564</v>
      </c>
      <c r="AA27" s="15"/>
      <c r="AB27" s="15">
        <f>AC27+2418</f>
        <v>38538</v>
      </c>
      <c r="AC27" s="15">
        <v>36120</v>
      </c>
      <c r="AD27" s="15">
        <f>AC27/12*3+AB27/12*9</f>
        <v>37933.5</v>
      </c>
    </row>
    <row r="28" spans="1:30" x14ac:dyDescent="0.2">
      <c r="A28" s="4" t="s">
        <v>114</v>
      </c>
      <c r="B28" s="7">
        <v>37912</v>
      </c>
      <c r="C28" s="47">
        <f>(Y28/12*9+X28/12*3)*0.5</f>
        <v>19897.125</v>
      </c>
      <c r="F28" s="7">
        <f>(Y28/12*9+X28/12*3)*0.5</f>
        <v>19897.125</v>
      </c>
      <c r="G28" s="59">
        <f>C28+F28</f>
        <v>39794.25</v>
      </c>
      <c r="H28" s="47"/>
      <c r="I28" s="7"/>
      <c r="J28" s="7"/>
      <c r="K28" s="7"/>
      <c r="L28" s="7"/>
      <c r="P28" s="7"/>
      <c r="Q28" s="7"/>
      <c r="R28" s="59">
        <f t="shared" si="4"/>
        <v>0</v>
      </c>
      <c r="S28" s="70">
        <f t="shared" si="5"/>
        <v>39794.25</v>
      </c>
      <c r="T28" s="47">
        <f t="shared" si="3"/>
        <v>1882.25</v>
      </c>
      <c r="U28" s="7"/>
      <c r="V28" s="4" t="s">
        <v>159</v>
      </c>
      <c r="W28" s="80">
        <f t="shared" si="2"/>
        <v>3.8795290774383373E-2</v>
      </c>
      <c r="X28" s="15">
        <v>40941</v>
      </c>
      <c r="Y28" s="79">
        <v>39412</v>
      </c>
      <c r="Z28" s="15">
        <f>Y28/12*9+X28/12*3</f>
        <v>39794.25</v>
      </c>
      <c r="AA28" s="15"/>
      <c r="AB28" s="15">
        <v>37652</v>
      </c>
      <c r="AC28" s="79">
        <v>36000</v>
      </c>
      <c r="AD28" s="79">
        <f>AC28/12*12</f>
        <v>36000</v>
      </c>
    </row>
    <row r="29" spans="1:30" x14ac:dyDescent="0.2">
      <c r="A29" t="s">
        <v>87</v>
      </c>
      <c r="B29" s="7">
        <v>17460</v>
      </c>
      <c r="C29" s="47"/>
      <c r="D29" s="7"/>
      <c r="E29" s="7"/>
      <c r="F29" s="7">
        <f>((17.5*20*8)+(18.5*20*44))</f>
        <v>19080</v>
      </c>
      <c r="G29" s="59">
        <f>C29+F29</f>
        <v>19080</v>
      </c>
      <c r="H29" s="47"/>
      <c r="I29" s="7"/>
      <c r="J29" s="7"/>
      <c r="K29" s="7"/>
      <c r="L29" s="7"/>
      <c r="M29" s="7"/>
      <c r="N29" s="7"/>
      <c r="O29" s="7"/>
      <c r="P29" s="7"/>
      <c r="Q29" s="7"/>
      <c r="R29" s="59">
        <f t="shared" si="4"/>
        <v>0</v>
      </c>
      <c r="S29" s="70">
        <f t="shared" si="5"/>
        <v>19080</v>
      </c>
      <c r="T29" s="47">
        <f t="shared" si="3"/>
        <v>1620</v>
      </c>
      <c r="U29" s="7"/>
      <c r="V29" s="4" t="s">
        <v>147</v>
      </c>
      <c r="W29" s="78">
        <f>(17.5/16.5)-1</f>
        <v>6.0606060606060552E-2</v>
      </c>
      <c r="X29" s="43"/>
      <c r="Y29" s="43"/>
    </row>
    <row r="30" spans="1:30" x14ac:dyDescent="0.2">
      <c r="A30" s="4" t="s">
        <v>88</v>
      </c>
      <c r="B30" s="7">
        <v>17320</v>
      </c>
      <c r="C30" s="47"/>
      <c r="D30" s="7"/>
      <c r="E30" s="7"/>
      <c r="F30" s="7">
        <f>((17*20*46)+(18*20*6))</f>
        <v>17800</v>
      </c>
      <c r="G30" s="59">
        <f>C30+F30</f>
        <v>17800</v>
      </c>
      <c r="H30" s="47"/>
      <c r="I30" s="7"/>
      <c r="J30" s="7"/>
      <c r="K30" s="7"/>
      <c r="L30" s="7"/>
      <c r="M30" s="7"/>
      <c r="N30" s="7"/>
      <c r="O30" s="7"/>
      <c r="P30" s="7"/>
      <c r="Q30" s="7"/>
      <c r="R30" s="59">
        <f t="shared" si="4"/>
        <v>0</v>
      </c>
      <c r="S30" s="70">
        <f t="shared" si="5"/>
        <v>17800</v>
      </c>
      <c r="T30" s="47">
        <f t="shared" si="3"/>
        <v>480</v>
      </c>
      <c r="U30" s="7"/>
      <c r="V30" s="4" t="s">
        <v>147</v>
      </c>
      <c r="W30" s="29">
        <f>(17/16)-1</f>
        <v>6.25E-2</v>
      </c>
      <c r="X30" s="43"/>
      <c r="Y30" s="43"/>
    </row>
    <row r="31" spans="1:30" x14ac:dyDescent="0.2">
      <c r="A31" s="4"/>
      <c r="B31" s="7"/>
      <c r="C31" s="47"/>
      <c r="D31" s="7"/>
      <c r="E31" s="7"/>
      <c r="F31" s="7"/>
      <c r="G31" s="59"/>
      <c r="H31" s="47"/>
      <c r="I31" s="7"/>
      <c r="J31" s="7"/>
      <c r="K31" s="7"/>
      <c r="L31" s="7"/>
      <c r="M31" s="7"/>
      <c r="N31" s="7"/>
      <c r="O31" s="7"/>
      <c r="P31" s="7"/>
      <c r="Q31" s="7"/>
      <c r="R31" s="59"/>
      <c r="S31" s="70"/>
      <c r="T31" s="47"/>
      <c r="U31" s="7"/>
      <c r="V31" s="4"/>
      <c r="W31" s="29"/>
      <c r="X31" s="43"/>
      <c r="Y31" s="43"/>
    </row>
    <row r="32" spans="1:30" x14ac:dyDescent="0.2">
      <c r="A32" s="4" t="s">
        <v>179</v>
      </c>
      <c r="B32" s="7">
        <v>6656</v>
      </c>
      <c r="C32" s="47"/>
      <c r="D32" s="7"/>
      <c r="E32" s="7"/>
      <c r="F32" s="7"/>
      <c r="G32" s="59"/>
      <c r="H32" s="47"/>
      <c r="I32" s="7"/>
      <c r="J32" s="7"/>
      <c r="K32" s="7"/>
      <c r="L32" s="7"/>
      <c r="M32" s="7"/>
      <c r="N32" s="7"/>
      <c r="O32" s="7"/>
      <c r="P32" s="7"/>
      <c r="Q32" s="7"/>
      <c r="R32" s="59">
        <f t="shared" si="4"/>
        <v>0</v>
      </c>
      <c r="S32" s="70">
        <f t="shared" si="5"/>
        <v>0</v>
      </c>
      <c r="T32" s="47">
        <f t="shared" si="3"/>
        <v>-6656</v>
      </c>
      <c r="U32" s="7"/>
      <c r="V32" s="4"/>
      <c r="W32" s="29"/>
      <c r="X32" s="43"/>
      <c r="Y32" s="43"/>
    </row>
    <row r="33" spans="1:28" x14ac:dyDescent="0.2">
      <c r="A33" s="4" t="s">
        <v>180</v>
      </c>
      <c r="B33" s="7">
        <v>11830</v>
      </c>
      <c r="C33" s="47"/>
      <c r="D33" s="7"/>
      <c r="E33" s="7"/>
      <c r="F33" s="7"/>
      <c r="G33" s="59"/>
      <c r="H33" s="47"/>
      <c r="I33" s="7"/>
      <c r="J33" s="7"/>
      <c r="K33" s="7"/>
      <c r="L33" s="7"/>
      <c r="M33" s="7"/>
      <c r="N33" s="7"/>
      <c r="O33" s="7"/>
      <c r="P33" s="7"/>
      <c r="Q33" s="7"/>
      <c r="R33" s="59">
        <f t="shared" si="4"/>
        <v>0</v>
      </c>
      <c r="S33" s="70">
        <f t="shared" si="5"/>
        <v>0</v>
      </c>
      <c r="T33" s="47">
        <f t="shared" si="3"/>
        <v>-11830</v>
      </c>
      <c r="U33" s="7"/>
      <c r="V33" s="4"/>
      <c r="W33" s="29"/>
      <c r="X33" s="43"/>
      <c r="Y33" s="43"/>
    </row>
    <row r="34" spans="1:28" x14ac:dyDescent="0.2">
      <c r="A34" s="4"/>
      <c r="B34" s="7"/>
      <c r="C34" s="47"/>
      <c r="D34" s="7"/>
      <c r="E34" s="7"/>
      <c r="F34" s="7"/>
      <c r="G34" s="59"/>
      <c r="H34" s="47"/>
      <c r="I34" s="7"/>
      <c r="J34" s="7"/>
      <c r="K34" s="7"/>
      <c r="L34" s="7"/>
      <c r="M34" s="7"/>
      <c r="N34" s="7"/>
      <c r="O34" s="7"/>
      <c r="P34" s="7"/>
      <c r="Q34" s="7"/>
      <c r="R34" s="59"/>
      <c r="S34" s="70"/>
      <c r="T34" s="47"/>
      <c r="U34" s="7"/>
      <c r="V34" s="4"/>
      <c r="W34" s="29"/>
      <c r="X34" s="43"/>
      <c r="Y34" s="43"/>
    </row>
    <row r="35" spans="1:28" x14ac:dyDescent="0.2">
      <c r="A35" s="1" t="s">
        <v>1</v>
      </c>
      <c r="B35" s="67">
        <f>SUM(B9:B34)-0.01</f>
        <v>717446.00999999989</v>
      </c>
      <c r="C35" s="7">
        <f t="shared" ref="C35:R35" si="6">SUM(C9:C34)</f>
        <v>80325.975000000006</v>
      </c>
      <c r="D35" s="7">
        <f t="shared" si="6"/>
        <v>0</v>
      </c>
      <c r="E35" s="7"/>
      <c r="F35" s="7">
        <f t="shared" si="6"/>
        <v>163895.27499999999</v>
      </c>
      <c r="G35" s="47">
        <f t="shared" si="6"/>
        <v>244221.25</v>
      </c>
      <c r="H35" s="47">
        <f t="shared" si="6"/>
        <v>29722.874291666667</v>
      </c>
      <c r="I35" s="7">
        <f t="shared" si="6"/>
        <v>45226.250000000007</v>
      </c>
      <c r="J35" s="7">
        <f t="shared" si="6"/>
        <v>77509.748249999975</v>
      </c>
      <c r="K35" s="7">
        <f t="shared" si="6"/>
        <v>38858.300000000003</v>
      </c>
      <c r="L35" s="7">
        <f t="shared" si="6"/>
        <v>71905.698458333325</v>
      </c>
      <c r="M35" s="7">
        <f t="shared" si="6"/>
        <v>41182.430500000002</v>
      </c>
      <c r="N35" s="7">
        <f t="shared" si="6"/>
        <v>265519.65633333329</v>
      </c>
      <c r="O35" s="7">
        <f t="shared" si="6"/>
        <v>15684.2</v>
      </c>
      <c r="P35" s="7">
        <f t="shared" si="6"/>
        <v>58952.993833333327</v>
      </c>
      <c r="Q35" s="7">
        <f t="shared" si="6"/>
        <v>0</v>
      </c>
      <c r="R35" s="83">
        <f t="shared" si="6"/>
        <v>644562.15166666661</v>
      </c>
      <c r="S35" s="70">
        <f>G35+R35</f>
        <v>888783.40166666661</v>
      </c>
      <c r="T35" s="47">
        <f>S35-B35</f>
        <v>171337.39166666672</v>
      </c>
      <c r="U35" s="7"/>
      <c r="V35" s="87">
        <f>T35/B35</f>
        <v>0.23881572867994172</v>
      </c>
      <c r="W35" s="86"/>
      <c r="AB35" s="15"/>
    </row>
    <row r="36" spans="1:28" x14ac:dyDescent="0.2">
      <c r="A36" s="1"/>
      <c r="B36" s="7"/>
      <c r="C36" s="47"/>
      <c r="D36" s="7"/>
      <c r="E36" s="7"/>
      <c r="F36" s="7"/>
      <c r="G36" s="59"/>
      <c r="H36" s="47"/>
      <c r="I36" s="7"/>
      <c r="J36" s="7"/>
      <c r="K36" s="7"/>
      <c r="L36" s="7"/>
      <c r="M36" s="7"/>
      <c r="N36" s="7"/>
      <c r="O36" s="7"/>
      <c r="P36" s="7"/>
      <c r="Q36" s="7"/>
      <c r="R36" s="59"/>
      <c r="S36" s="70"/>
      <c r="T36" s="47"/>
      <c r="U36" s="4"/>
      <c r="V36" s="4"/>
      <c r="W36" s="29"/>
    </row>
    <row r="37" spans="1:28" x14ac:dyDescent="0.2">
      <c r="A37" s="9" t="s">
        <v>22</v>
      </c>
      <c r="B37" s="7"/>
      <c r="C37" s="47"/>
      <c r="D37" s="7"/>
      <c r="E37" s="7"/>
      <c r="F37" s="7"/>
      <c r="G37" s="59"/>
      <c r="H37" s="47"/>
      <c r="I37" s="7"/>
      <c r="J37" s="7"/>
      <c r="K37" s="7"/>
      <c r="L37" s="7"/>
      <c r="M37" s="7"/>
      <c r="N37" s="7"/>
      <c r="O37" s="7"/>
      <c r="P37" s="7"/>
      <c r="Q37" s="7"/>
      <c r="R37" s="59"/>
      <c r="S37" s="70"/>
      <c r="T37" s="47"/>
      <c r="U37" s="4"/>
      <c r="V37" s="4"/>
      <c r="W37" s="29"/>
    </row>
    <row r="38" spans="1:28" x14ac:dyDescent="0.2">
      <c r="A38" s="4" t="s">
        <v>41</v>
      </c>
      <c r="B38">
        <v>106928.96000000001</v>
      </c>
      <c r="C38" s="47">
        <f>((833.64+8)*9*0.15)+((833.64+8)*7*0.15)+((1268.9+8)*0.5)+((1395.42+8)*11*0.5)+(248*12*2*0.5)</f>
        <v>13353.196</v>
      </c>
      <c r="D38" s="47"/>
      <c r="E38" s="47"/>
      <c r="F38" s="47">
        <f>((833.64+8)*9*0.85)+((833.64+8)*7*0.85)+((1268.9+8)*0.5)+((1395.42+8)*11*0.5)+(248*12*2*0.5)</f>
        <v>22779.564000000002</v>
      </c>
      <c r="G38" s="59">
        <f>C38+D38+F38</f>
        <v>36132.76</v>
      </c>
      <c r="H38" s="47"/>
      <c r="I38" s="7">
        <f>(240+8)*12</f>
        <v>2976</v>
      </c>
      <c r="J38" s="7">
        <f>(813.02+8)*12</f>
        <v>9852.24</v>
      </c>
      <c r="K38" s="7">
        <f>(833.64+8)*12</f>
        <v>10099.68</v>
      </c>
      <c r="L38" s="7">
        <f>(833.64+8)*12</f>
        <v>10099.68</v>
      </c>
      <c r="M38" s="7">
        <f>(833.64+8)*12</f>
        <v>10099.68</v>
      </c>
      <c r="N38" s="7">
        <f>((813.02+8)*12)+((833.64+8)*12*3)+(1268.9+8)*12</f>
        <v>55474.080000000002</v>
      </c>
      <c r="O38" s="7">
        <f>L38</f>
        <v>10099.68</v>
      </c>
      <c r="P38" s="7">
        <f>(1395.42+8)*12</f>
        <v>16841.04</v>
      </c>
      <c r="Q38" s="7"/>
      <c r="R38" s="59">
        <f>H38+I38+J38+K38+L38+M38+N38+O38+P38+Q38</f>
        <v>125542.08000000002</v>
      </c>
      <c r="S38" s="70">
        <f t="shared" ref="S38:S45" si="7">G38+R38</f>
        <v>161674.84000000003</v>
      </c>
      <c r="T38" s="47">
        <f t="shared" ref="T38:T45" si="8">S38-B38</f>
        <v>54745.880000000019</v>
      </c>
      <c r="U38" s="4"/>
      <c r="V38" s="4" t="s">
        <v>176</v>
      </c>
      <c r="W38" s="29"/>
      <c r="X38" s="75"/>
    </row>
    <row r="39" spans="1:28" x14ac:dyDescent="0.2">
      <c r="A39" s="4" t="s">
        <v>40</v>
      </c>
      <c r="B39" s="7">
        <v>7465.68</v>
      </c>
      <c r="C39" s="47">
        <f>(43.86*9*0.15)+(43.86*7*0.15)+(95.82*0.5)+(149.3*11*0.5)+(149.3*12*0.5)+(43.86*12*0.5)</f>
        <v>2133.2840000000001</v>
      </c>
      <c r="D39" s="47"/>
      <c r="E39" s="47"/>
      <c r="F39" s="47">
        <f>(43.86*9*0.85)+(43.86*7*0.85)+(95.82*0.5)+(149.3*11*0.5)+(149.3*12*0.5)+(43.86*12*0.5)</f>
        <v>2624.5160000000001</v>
      </c>
      <c r="G39" s="59">
        <f t="shared" ref="G39:G46" si="9">C39+D39+F39</f>
        <v>4757.8</v>
      </c>
      <c r="H39" s="47"/>
      <c r="I39" s="7">
        <f>(43.86*12)</f>
        <v>526.31999999999994</v>
      </c>
      <c r="J39" s="7">
        <f>(43.86*12)</f>
        <v>526.31999999999994</v>
      </c>
      <c r="K39" s="7">
        <f>(43.86*12)</f>
        <v>526.31999999999994</v>
      </c>
      <c r="L39" s="7">
        <f>43.86*12</f>
        <v>526.31999999999994</v>
      </c>
      <c r="M39" s="7">
        <f>43.86*12</f>
        <v>526.31999999999994</v>
      </c>
      <c r="N39" s="7">
        <f>43.86*12*5</f>
        <v>2631.5999999999995</v>
      </c>
      <c r="O39" s="7">
        <f>43.86*12</f>
        <v>526.31999999999994</v>
      </c>
      <c r="P39" s="7">
        <f>95.82*12</f>
        <v>1149.8399999999999</v>
      </c>
      <c r="Q39" s="7"/>
      <c r="R39" s="59">
        <f t="shared" ref="R39:R45" si="10">H39+I39+J39+K39+L39+M39+N39+O39+P39+Q39</f>
        <v>6939.3599999999988</v>
      </c>
      <c r="S39" s="70">
        <f t="shared" si="7"/>
        <v>11697.16</v>
      </c>
      <c r="T39" s="47">
        <f t="shared" si="8"/>
        <v>4231.4799999999996</v>
      </c>
      <c r="U39" s="4"/>
      <c r="V39" s="4" t="s">
        <v>177</v>
      </c>
      <c r="W39" s="29"/>
      <c r="X39" s="76"/>
    </row>
    <row r="40" spans="1:28" x14ac:dyDescent="0.2">
      <c r="A40" s="4" t="s">
        <v>42</v>
      </c>
      <c r="B40" s="7">
        <v>2995.2</v>
      </c>
      <c r="C40" s="47">
        <f>(19.2*9*0.15)+(19.2*7*0.15)+(19.2*12*3*0.5)</f>
        <v>391.67999999999995</v>
      </c>
      <c r="D40" s="47"/>
      <c r="E40" s="47"/>
      <c r="F40" s="47">
        <f>(19.2*9*0.85)+(19.2*7*0.85)+(19.2*12*3*0.5)</f>
        <v>606.72</v>
      </c>
      <c r="G40" s="59">
        <f t="shared" si="9"/>
        <v>998.4</v>
      </c>
      <c r="H40" s="47"/>
      <c r="I40" s="7">
        <f>(19.2*12)</f>
        <v>230.39999999999998</v>
      </c>
      <c r="J40" s="7">
        <f>(19.2*12)</f>
        <v>230.39999999999998</v>
      </c>
      <c r="K40" s="7">
        <f>(19.2*12)</f>
        <v>230.39999999999998</v>
      </c>
      <c r="L40" s="7">
        <f>(19.2*12)</f>
        <v>230.39999999999998</v>
      </c>
      <c r="M40" s="7">
        <f>(19.2*12)</f>
        <v>230.39999999999998</v>
      </c>
      <c r="N40" s="7">
        <f>(19.2*12)*5</f>
        <v>1152</v>
      </c>
      <c r="O40" s="7">
        <f>19.2*12</f>
        <v>230.39999999999998</v>
      </c>
      <c r="P40" s="7">
        <f>19.2*12</f>
        <v>230.39999999999998</v>
      </c>
      <c r="Q40" s="7"/>
      <c r="R40" s="59">
        <f t="shared" si="10"/>
        <v>2764.8</v>
      </c>
      <c r="S40" s="70">
        <f t="shared" si="7"/>
        <v>3763.2000000000003</v>
      </c>
      <c r="T40" s="47">
        <f t="shared" si="8"/>
        <v>768.00000000000045</v>
      </c>
      <c r="U40" s="4"/>
      <c r="V40" s="4" t="s">
        <v>177</v>
      </c>
      <c r="W40" s="29"/>
      <c r="X40" s="75"/>
    </row>
    <row r="41" spans="1:28" x14ac:dyDescent="0.2">
      <c r="A41" s="4" t="s">
        <v>43</v>
      </c>
      <c r="B41" s="7">
        <v>6315.66</v>
      </c>
      <c r="C41" s="47">
        <f>0.009576*(C23+C24+C26+C27+C28+2880+2880)</f>
        <v>824.35929659999999</v>
      </c>
      <c r="D41" s="7"/>
      <c r="E41" s="7"/>
      <c r="F41" s="7">
        <f>0.009576*(F23+F24+F26+F27+F28+2880+2880)</f>
        <v>1271.4560333999998</v>
      </c>
      <c r="G41" s="59">
        <f t="shared" si="9"/>
        <v>2095.8153299999999</v>
      </c>
      <c r="H41" s="47"/>
      <c r="I41" s="7">
        <f>(I35+2880)*0.009576</f>
        <v>460.66545000000002</v>
      </c>
      <c r="J41" s="7">
        <f>J35*0.009576</f>
        <v>742.23334924199969</v>
      </c>
      <c r="K41" s="7">
        <f>K35*0.009576</f>
        <v>372.10708080000001</v>
      </c>
      <c r="L41" s="7">
        <f>L35*0.009576</f>
        <v>688.56896843699985</v>
      </c>
      <c r="M41" s="7">
        <f>0.009576*M35</f>
        <v>394.362954468</v>
      </c>
      <c r="N41" s="7">
        <f>0.009576*N35</f>
        <v>2542.6162290479992</v>
      </c>
      <c r="O41" s="7">
        <f>0.009576*(O35)</f>
        <v>150.19189919999999</v>
      </c>
      <c r="P41" s="7">
        <f>(P35)*0.009576</f>
        <v>564.53386894799985</v>
      </c>
      <c r="Q41" s="7"/>
      <c r="R41" s="59">
        <f t="shared" si="10"/>
        <v>5915.2798001429992</v>
      </c>
      <c r="S41" s="70">
        <f t="shared" si="7"/>
        <v>8011.0951301429996</v>
      </c>
      <c r="T41" s="47">
        <f t="shared" si="8"/>
        <v>1695.4351301429997</v>
      </c>
      <c r="U41" s="4"/>
      <c r="V41" s="4" t="s">
        <v>177</v>
      </c>
      <c r="W41" s="29"/>
    </row>
    <row r="42" spans="1:28" x14ac:dyDescent="0.2">
      <c r="A42" s="4" t="s">
        <v>2</v>
      </c>
      <c r="B42" s="7">
        <v>1379.56</v>
      </c>
      <c r="C42" s="47">
        <f>(C35+2880+2880)*0.19/100</f>
        <v>163.56335250000001</v>
      </c>
      <c r="D42" s="7"/>
      <c r="E42" s="7"/>
      <c r="F42" s="7">
        <f>F35*0.19/100</f>
        <v>311.40102250000001</v>
      </c>
      <c r="G42" s="59">
        <f t="shared" si="9"/>
        <v>474.96437500000002</v>
      </c>
      <c r="H42" s="47">
        <f t="shared" ref="H42:O42" si="11">H35*0.19/100</f>
        <v>56.473461154166671</v>
      </c>
      <c r="I42" s="7">
        <f>(I35+2880)*0.19/100</f>
        <v>91.401875000000018</v>
      </c>
      <c r="J42" s="7">
        <f t="shared" si="11"/>
        <v>147.26852167499996</v>
      </c>
      <c r="K42" s="7">
        <f t="shared" si="11"/>
        <v>73.830770000000001</v>
      </c>
      <c r="L42" s="7">
        <f t="shared" si="11"/>
        <v>136.62082707083331</v>
      </c>
      <c r="M42" s="7">
        <f t="shared" si="11"/>
        <v>78.246617950000015</v>
      </c>
      <c r="N42" s="7">
        <f t="shared" si="11"/>
        <v>504.48734703333326</v>
      </c>
      <c r="O42" s="7">
        <f t="shared" si="11"/>
        <v>29.799980000000001</v>
      </c>
      <c r="P42" s="7">
        <f>P35*0.19/100</f>
        <v>112.01068828333332</v>
      </c>
      <c r="Q42" s="7">
        <f>Q35*0.19/100</f>
        <v>0</v>
      </c>
      <c r="R42" s="59">
        <f t="shared" si="10"/>
        <v>1230.1400881666666</v>
      </c>
      <c r="S42" s="70">
        <f t="shared" si="7"/>
        <v>1705.1044631666666</v>
      </c>
      <c r="T42" s="47">
        <f t="shared" si="8"/>
        <v>325.54446316666667</v>
      </c>
      <c r="U42" s="4"/>
      <c r="V42" s="4" t="s">
        <v>136</v>
      </c>
      <c r="W42" s="29"/>
    </row>
    <row r="43" spans="1:28" x14ac:dyDescent="0.2">
      <c r="A43" s="12" t="s">
        <v>27</v>
      </c>
      <c r="B43" s="7">
        <v>175574.64</v>
      </c>
      <c r="C43" s="47">
        <f>25.065%*(1440+1440+C23+C24+C26+C27+C28)</f>
        <v>20855.577633750006</v>
      </c>
      <c r="D43" s="7"/>
      <c r="E43" s="7"/>
      <c r="F43" s="7">
        <f>25.065%*(1440+1440+F23+F24+F26+F27+F28)</f>
        <v>32558.250678750002</v>
      </c>
      <c r="G43" s="59">
        <f t="shared" si="9"/>
        <v>53413.828312500009</v>
      </c>
      <c r="H43" s="47">
        <f>25.065%*(H35)</f>
        <v>7450.0384412062513</v>
      </c>
      <c r="I43" s="7">
        <f>(I35+2880)*25.06%</f>
        <v>12055.42625</v>
      </c>
      <c r="J43" s="7">
        <f>J35*25.065%</f>
        <v>19427.818398862495</v>
      </c>
      <c r="K43" s="7">
        <f>K35*25.065%</f>
        <v>9739.8328950000014</v>
      </c>
      <c r="L43" s="7">
        <f>L35*25.05%</f>
        <v>18012.3774638125</v>
      </c>
      <c r="M43" s="7">
        <f>M35*25.065%</f>
        <v>10322.376204825003</v>
      </c>
      <c r="N43" s="7">
        <f>N35*25.065%</f>
        <v>66552.501859950004</v>
      </c>
      <c r="O43" s="7">
        <f>O35*25.065%</f>
        <v>3931.2447300000008</v>
      </c>
      <c r="P43" s="7">
        <f>P35*25.065%</f>
        <v>14776.567904325</v>
      </c>
      <c r="Q43" s="7">
        <f>(Q35-Q11)*26.79%</f>
        <v>0</v>
      </c>
      <c r="R43" s="59">
        <f t="shared" si="10"/>
        <v>162268.18414798126</v>
      </c>
      <c r="S43" s="70">
        <f t="shared" si="7"/>
        <v>215682.01246048126</v>
      </c>
      <c r="T43" s="47">
        <f t="shared" si="8"/>
        <v>40107.372460481245</v>
      </c>
      <c r="U43" s="4"/>
      <c r="V43" s="4" t="s">
        <v>245</v>
      </c>
      <c r="W43" s="29"/>
      <c r="X43" s="74"/>
    </row>
    <row r="44" spans="1:28" x14ac:dyDescent="0.2">
      <c r="A44" s="4" t="s">
        <v>116</v>
      </c>
      <c r="B44" s="7">
        <v>55545.58</v>
      </c>
      <c r="C44" s="7">
        <f>(C35+2880)*7.65%</f>
        <v>6365.2570875000001</v>
      </c>
      <c r="D44" s="7"/>
      <c r="E44" s="7">
        <f t="shared" ref="C44:E44" si="12">(E35*7.65%)</f>
        <v>0</v>
      </c>
      <c r="F44" s="7">
        <f>(F35+2880)*7.65%</f>
        <v>12758.308537499999</v>
      </c>
      <c r="G44" s="59">
        <f t="shared" si="9"/>
        <v>19123.565624999999</v>
      </c>
      <c r="H44" s="47">
        <f t="shared" ref="H44:Q44" si="13">H35*7.65%</f>
        <v>2273.7998833124998</v>
      </c>
      <c r="I44" s="7">
        <f>(I35+2880)*7.65%</f>
        <v>3680.1281250000006</v>
      </c>
      <c r="J44" s="7">
        <f t="shared" si="13"/>
        <v>5929.4957411249979</v>
      </c>
      <c r="K44" s="7">
        <f t="shared" si="13"/>
        <v>2972.6599500000002</v>
      </c>
      <c r="L44" s="7">
        <f t="shared" si="13"/>
        <v>5500.7859320624993</v>
      </c>
      <c r="M44" s="7">
        <f t="shared" si="13"/>
        <v>3150.4559332500003</v>
      </c>
      <c r="N44" s="7">
        <f t="shared" si="13"/>
        <v>20312.253709499997</v>
      </c>
      <c r="O44" s="7">
        <f t="shared" si="13"/>
        <v>1199.8413</v>
      </c>
      <c r="P44" s="7">
        <f t="shared" si="13"/>
        <v>4509.9040282499991</v>
      </c>
      <c r="Q44" s="7">
        <f t="shared" si="13"/>
        <v>0</v>
      </c>
      <c r="R44" s="59">
        <f t="shared" si="10"/>
        <v>49529.32460249999</v>
      </c>
      <c r="S44" s="70">
        <f t="shared" si="7"/>
        <v>68652.890227499985</v>
      </c>
      <c r="T44" s="47">
        <f t="shared" si="8"/>
        <v>13107.310227499984</v>
      </c>
      <c r="U44" s="4"/>
      <c r="V44" s="4" t="s">
        <v>107</v>
      </c>
      <c r="W44" s="29"/>
    </row>
    <row r="45" spans="1:28" x14ac:dyDescent="0.2">
      <c r="A45" s="4" t="s">
        <v>3</v>
      </c>
      <c r="B45" s="7">
        <v>2457</v>
      </c>
      <c r="C45" s="7">
        <f>(10800*1.3%*2*0.15)+(10800*3*1.3%*0.5)</f>
        <v>252.72000000000003</v>
      </c>
      <c r="D45" s="7"/>
      <c r="E45" s="7">
        <f t="shared" ref="C45:E45" si="14">(10800*1.3%*2*0.85)+(10800*3*1.3%*0.5)</f>
        <v>449.28000000000003</v>
      </c>
      <c r="F45" s="7">
        <f>(10800*1.3%*2*0.85)+(10800*3*1.3%*0.5)</f>
        <v>449.28000000000003</v>
      </c>
      <c r="G45" s="59">
        <f t="shared" si="9"/>
        <v>702</v>
      </c>
      <c r="H45" s="47"/>
      <c r="I45" s="7">
        <f>10800*1.3%</f>
        <v>140.4</v>
      </c>
      <c r="J45" s="7">
        <f t="shared" ref="J45:P45" si="15">10800*1.3%</f>
        <v>140.4</v>
      </c>
      <c r="K45" s="7">
        <v>140.4</v>
      </c>
      <c r="L45" s="7">
        <f t="shared" si="15"/>
        <v>140.4</v>
      </c>
      <c r="M45" s="7">
        <f t="shared" si="15"/>
        <v>140.4</v>
      </c>
      <c r="N45" s="7">
        <f>10800*1.3%*5</f>
        <v>702</v>
      </c>
      <c r="O45" s="7">
        <v>140.4</v>
      </c>
      <c r="P45" s="7">
        <f t="shared" si="15"/>
        <v>140.4</v>
      </c>
      <c r="Q45" s="7"/>
      <c r="R45" s="59">
        <f t="shared" si="10"/>
        <v>1684.8000000000002</v>
      </c>
      <c r="S45" s="70">
        <f t="shared" si="7"/>
        <v>2386.8000000000002</v>
      </c>
      <c r="T45" s="47">
        <f t="shared" si="8"/>
        <v>-70.199999999999818</v>
      </c>
      <c r="U45" s="4"/>
      <c r="V45" s="4" t="s">
        <v>178</v>
      </c>
      <c r="W45" s="29"/>
    </row>
    <row r="46" spans="1:28" x14ac:dyDescent="0.2">
      <c r="A46" s="9" t="s">
        <v>24</v>
      </c>
      <c r="B46" s="67">
        <f>SUM(B38:B45)</f>
        <v>358662.28</v>
      </c>
      <c r="C46" s="7">
        <f>SUM(C38:C45)</f>
        <v>44339.637370350007</v>
      </c>
      <c r="D46" s="7"/>
      <c r="E46" s="7"/>
      <c r="F46" s="7">
        <f>SUM(F38:F45)</f>
        <v>73359.496272149991</v>
      </c>
      <c r="G46" s="59">
        <f t="shared" si="9"/>
        <v>117699.1336425</v>
      </c>
      <c r="H46" s="47">
        <f t="shared" ref="H46:Q46" si="16">SUM(H38:H45)</f>
        <v>9780.3117856729186</v>
      </c>
      <c r="I46" s="7">
        <f t="shared" si="16"/>
        <v>20160.741700000002</v>
      </c>
      <c r="J46" s="7">
        <f t="shared" si="16"/>
        <v>36996.176010904492</v>
      </c>
      <c r="K46" s="7">
        <f t="shared" si="16"/>
        <v>24155.230695800004</v>
      </c>
      <c r="L46" s="7">
        <f t="shared" si="16"/>
        <v>35335.153191382829</v>
      </c>
      <c r="M46" s="7">
        <f t="shared" si="16"/>
        <v>24942.241710493006</v>
      </c>
      <c r="N46" s="7">
        <f t="shared" si="16"/>
        <v>149871.53914553134</v>
      </c>
      <c r="O46" s="7">
        <f t="shared" si="16"/>
        <v>16307.877909199999</v>
      </c>
      <c r="P46" s="7">
        <f>SUM(P37:P45)</f>
        <v>38324.696489806338</v>
      </c>
      <c r="Q46" s="7">
        <f t="shared" si="16"/>
        <v>0</v>
      </c>
      <c r="R46" s="47">
        <f>SUM(R38:R45)</f>
        <v>355873.96863879089</v>
      </c>
      <c r="S46" s="70">
        <f>SUM(S38:S45)</f>
        <v>473573.10228129098</v>
      </c>
      <c r="T46" s="47">
        <f>SUM(T38:T45)</f>
        <v>114910.82228129091</v>
      </c>
      <c r="U46" s="4"/>
      <c r="V46" s="40">
        <f>T46/B46</f>
        <v>0.32038725198894874</v>
      </c>
      <c r="W46" s="29"/>
    </row>
    <row r="47" spans="1:28" x14ac:dyDescent="0.2">
      <c r="A47" s="1" t="s">
        <v>23</v>
      </c>
      <c r="B47" s="91">
        <f t="shared" ref="B47:S47" si="17">B35+B46</f>
        <v>1076108.29</v>
      </c>
      <c r="C47" s="8">
        <f t="shared" si="17"/>
        <v>124665.61237035002</v>
      </c>
      <c r="D47" s="8"/>
      <c r="E47" s="8"/>
      <c r="F47" s="8">
        <f t="shared" si="17"/>
        <v>237254.77127214998</v>
      </c>
      <c r="G47" s="60">
        <f t="shared" si="17"/>
        <v>361920.38364250003</v>
      </c>
      <c r="H47" s="54">
        <f t="shared" si="17"/>
        <v>39503.186077339589</v>
      </c>
      <c r="I47" s="54">
        <f t="shared" si="17"/>
        <v>65386.991700000013</v>
      </c>
      <c r="J47" s="54">
        <f t="shared" si="17"/>
        <v>114505.92426090446</v>
      </c>
      <c r="K47" s="54">
        <f t="shared" si="17"/>
        <v>63013.530695800007</v>
      </c>
      <c r="L47" s="54">
        <f t="shared" si="17"/>
        <v>107240.85164971615</v>
      </c>
      <c r="M47" s="54">
        <f t="shared" si="17"/>
        <v>66124.672210493009</v>
      </c>
      <c r="N47" s="54">
        <f t="shared" si="17"/>
        <v>415391.1954788646</v>
      </c>
      <c r="O47" s="54">
        <f t="shared" si="17"/>
        <v>31992.077909200001</v>
      </c>
      <c r="P47" s="54">
        <f t="shared" si="17"/>
        <v>97277.690323139657</v>
      </c>
      <c r="Q47" s="54">
        <f t="shared" si="17"/>
        <v>0</v>
      </c>
      <c r="R47" s="48">
        <f>R46+R35</f>
        <v>1000436.1203054575</v>
      </c>
      <c r="S47" s="71">
        <f t="shared" si="17"/>
        <v>1362356.5039479577</v>
      </c>
      <c r="T47" s="48">
        <f>S47-B47</f>
        <v>286248.21394795761</v>
      </c>
      <c r="U47" s="4"/>
      <c r="V47" s="40">
        <f>T47/B47</f>
        <v>0.26600316771833216</v>
      </c>
      <c r="W47" s="29"/>
    </row>
    <row r="48" spans="1:28" x14ac:dyDescent="0.2">
      <c r="A48" s="4"/>
      <c r="B48" s="7"/>
      <c r="C48" s="47"/>
      <c r="D48" s="7"/>
      <c r="E48" s="7"/>
      <c r="F48" s="7"/>
      <c r="G48" s="59"/>
      <c r="H48" s="47"/>
      <c r="I48" s="7"/>
      <c r="J48" s="7"/>
      <c r="K48" s="7"/>
      <c r="L48" s="7"/>
      <c r="M48" s="7"/>
      <c r="N48" s="7"/>
      <c r="O48" s="7"/>
      <c r="P48" s="7"/>
      <c r="Q48" s="7"/>
      <c r="R48" s="59"/>
      <c r="S48" s="70"/>
      <c r="T48" s="47"/>
      <c r="U48" s="4"/>
      <c r="V48" s="4"/>
    </row>
    <row r="49" spans="1:22" x14ac:dyDescent="0.2">
      <c r="A49" s="1" t="s">
        <v>4</v>
      </c>
      <c r="B49" s="30" t="s">
        <v>26</v>
      </c>
      <c r="C49" s="49" t="s">
        <v>113</v>
      </c>
      <c r="D49" s="30" t="s">
        <v>151</v>
      </c>
      <c r="E49" s="30"/>
      <c r="F49" s="30" t="s">
        <v>58</v>
      </c>
      <c r="G49" s="61" t="s">
        <v>25</v>
      </c>
      <c r="H49" s="49" t="s">
        <v>55</v>
      </c>
      <c r="I49" s="30" t="s">
        <v>61</v>
      </c>
      <c r="J49" s="30" t="s">
        <v>30</v>
      </c>
      <c r="K49" s="30" t="s">
        <v>172</v>
      </c>
      <c r="L49" s="30" t="s">
        <v>57</v>
      </c>
      <c r="M49" s="30" t="s">
        <v>70</v>
      </c>
      <c r="N49" s="30" t="s">
        <v>149</v>
      </c>
      <c r="O49" s="30" t="s">
        <v>183</v>
      </c>
      <c r="P49" s="30" t="s">
        <v>125</v>
      </c>
      <c r="Q49" s="30" t="s">
        <v>65</v>
      </c>
      <c r="R49" s="61" t="s">
        <v>31</v>
      </c>
      <c r="S49" s="72" t="s">
        <v>26</v>
      </c>
      <c r="T49" s="49" t="s">
        <v>67</v>
      </c>
      <c r="U49" s="4"/>
      <c r="V49" s="4"/>
    </row>
    <row r="50" spans="1:22" x14ac:dyDescent="0.2">
      <c r="A50" s="4" t="s">
        <v>5</v>
      </c>
      <c r="B50" s="7">
        <v>4500</v>
      </c>
      <c r="C50" s="47"/>
      <c r="D50" s="7"/>
      <c r="E50" s="7"/>
      <c r="F50" s="7">
        <v>2400</v>
      </c>
      <c r="G50" s="59">
        <f>C50+D50+F50</f>
        <v>2400</v>
      </c>
      <c r="H50" s="47"/>
      <c r="I50" s="7"/>
      <c r="J50" s="7"/>
      <c r="K50" s="7"/>
      <c r="L50" s="7"/>
      <c r="M50" s="7"/>
      <c r="N50" s="7">
        <f>800</f>
        <v>800</v>
      </c>
      <c r="O50" s="7">
        <v>800</v>
      </c>
      <c r="P50" s="7"/>
      <c r="Q50" s="7">
        <v>600</v>
      </c>
      <c r="R50" s="59">
        <f>H50+I50+J50+L50+M50+N50+O50+P50+Q50</f>
        <v>2200</v>
      </c>
      <c r="S50" s="70">
        <f t="shared" ref="S50:S71" si="18">G50+R50</f>
        <v>4600</v>
      </c>
      <c r="T50" s="47">
        <f t="shared" ref="T50:T71" si="19">S50-B50</f>
        <v>100</v>
      </c>
      <c r="U50" s="4"/>
      <c r="V50" s="4" t="s">
        <v>137</v>
      </c>
    </row>
    <row r="51" spans="1:22" ht="15" x14ac:dyDescent="0.25">
      <c r="A51" s="4" t="s">
        <v>182</v>
      </c>
      <c r="B51" s="7">
        <v>21180</v>
      </c>
      <c r="C51" s="47">
        <v>640</v>
      </c>
      <c r="D51" s="7"/>
      <c r="E51" s="7"/>
      <c r="F51">
        <v>10000</v>
      </c>
      <c r="G51" s="59">
        <f t="shared" ref="G51:G63" si="20">C51+D51+F51</f>
        <v>10640</v>
      </c>
      <c r="H51" s="47"/>
      <c r="I51" s="7"/>
      <c r="J51" s="7"/>
      <c r="K51" s="7"/>
      <c r="L51" s="7">
        <v>256</v>
      </c>
      <c r="M51" s="7"/>
      <c r="N51" s="7"/>
      <c r="O51" s="7"/>
      <c r="P51" s="7"/>
      <c r="Q51" s="93">
        <v>15000</v>
      </c>
      <c r="R51" s="59">
        <f t="shared" ref="R51:R71" si="21">H51+I51+J51+L51+M51+N51+O51+P51+Q51</f>
        <v>15256</v>
      </c>
      <c r="S51" s="70">
        <f t="shared" si="18"/>
        <v>25896</v>
      </c>
      <c r="T51" s="47">
        <f t="shared" si="19"/>
        <v>4716</v>
      </c>
      <c r="U51" s="4"/>
      <c r="V51" s="4" t="s">
        <v>231</v>
      </c>
    </row>
    <row r="52" spans="1:22" x14ac:dyDescent="0.2">
      <c r="A52" s="4" t="s">
        <v>187</v>
      </c>
      <c r="B52" s="7">
        <v>6000</v>
      </c>
      <c r="C52" s="47"/>
      <c r="D52" s="7"/>
      <c r="E52" s="7"/>
      <c r="F52" s="7">
        <f>(350*12)+600</f>
        <v>4800</v>
      </c>
      <c r="G52" s="59">
        <f t="shared" si="20"/>
        <v>4800</v>
      </c>
      <c r="H52" s="47"/>
      <c r="I52" s="7"/>
      <c r="J52" s="7"/>
      <c r="K52" s="7"/>
      <c r="L52" s="7"/>
      <c r="M52" s="7"/>
      <c r="N52" s="7"/>
      <c r="O52" s="7"/>
      <c r="P52" s="7"/>
      <c r="Q52" s="7">
        <v>1200</v>
      </c>
      <c r="R52" s="59">
        <f t="shared" si="21"/>
        <v>1200</v>
      </c>
      <c r="S52" s="70">
        <f t="shared" si="18"/>
        <v>6000</v>
      </c>
      <c r="T52" s="47">
        <f t="shared" si="19"/>
        <v>0</v>
      </c>
      <c r="U52" s="4"/>
      <c r="V52" s="4" t="s">
        <v>138</v>
      </c>
    </row>
    <row r="53" spans="1:22" x14ac:dyDescent="0.2">
      <c r="A53" s="4" t="s">
        <v>184</v>
      </c>
      <c r="B53" s="7">
        <v>10000</v>
      </c>
      <c r="C53" s="47"/>
      <c r="D53" s="7"/>
      <c r="E53" s="7"/>
      <c r="F53" s="7"/>
      <c r="G53" s="59"/>
      <c r="H53" s="47"/>
      <c r="I53" s="7"/>
      <c r="J53" s="7"/>
      <c r="K53" s="7"/>
      <c r="L53" s="7"/>
      <c r="M53" s="7"/>
      <c r="N53" s="7"/>
      <c r="O53" s="7"/>
      <c r="P53" s="7"/>
      <c r="Q53" s="7">
        <f>3775*12</f>
        <v>45300</v>
      </c>
      <c r="R53" s="59">
        <f t="shared" si="21"/>
        <v>45300</v>
      </c>
      <c r="S53" s="70">
        <f>G53+R53</f>
        <v>45300</v>
      </c>
      <c r="T53" s="47">
        <f t="shared" si="19"/>
        <v>35300</v>
      </c>
      <c r="U53" s="4"/>
      <c r="V53" s="4" t="s">
        <v>185</v>
      </c>
    </row>
    <row r="54" spans="1:22" x14ac:dyDescent="0.2">
      <c r="A54" s="4" t="s">
        <v>38</v>
      </c>
      <c r="B54" s="7">
        <v>4570</v>
      </c>
      <c r="C54" s="47">
        <f>1500*0.4+(300*3*0.4)+(125*3*0.4)</f>
        <v>1110</v>
      </c>
      <c r="D54" s="47"/>
      <c r="E54" s="47"/>
      <c r="F54" s="47">
        <f>1500*0.6+(300*3*0.6)+(125*3*0.6)+75</f>
        <v>1740</v>
      </c>
      <c r="G54" s="59">
        <f t="shared" si="20"/>
        <v>2850</v>
      </c>
      <c r="H54" s="47">
        <v>360</v>
      </c>
      <c r="I54" s="7">
        <v>360</v>
      </c>
      <c r="J54" s="7"/>
      <c r="K54" s="7"/>
      <c r="L54" s="7">
        <f>125+360</f>
        <v>485</v>
      </c>
      <c r="M54" s="7">
        <v>125</v>
      </c>
      <c r="N54" s="7"/>
      <c r="O54" s="7"/>
      <c r="P54" s="7"/>
      <c r="Q54" s="7">
        <f>300+350+500+125+125</f>
        <v>1400</v>
      </c>
      <c r="R54" s="59">
        <f t="shared" si="21"/>
        <v>2730</v>
      </c>
      <c r="S54" s="70">
        <f t="shared" si="18"/>
        <v>5580</v>
      </c>
      <c r="T54" s="47">
        <f t="shared" si="19"/>
        <v>1010</v>
      </c>
      <c r="U54" s="4"/>
      <c r="V54" s="4" t="s">
        <v>91</v>
      </c>
    </row>
    <row r="55" spans="1:22" x14ac:dyDescent="0.2">
      <c r="A55" s="4" t="s">
        <v>6</v>
      </c>
      <c r="B55" s="7">
        <v>3812.68</v>
      </c>
      <c r="C55" s="47">
        <f>3600*0.4</f>
        <v>1440</v>
      </c>
      <c r="D55" s="47"/>
      <c r="E55" s="47"/>
      <c r="F55" s="47">
        <f>3600*0.6</f>
        <v>2160</v>
      </c>
      <c r="G55" s="59">
        <f t="shared" si="20"/>
        <v>3600</v>
      </c>
      <c r="H55" s="47"/>
      <c r="I55" s="7"/>
      <c r="J55" s="7"/>
      <c r="K55" s="7"/>
      <c r="L55" s="7"/>
      <c r="M55" s="7"/>
      <c r="N55" s="7"/>
      <c r="O55" s="7"/>
      <c r="P55" s="7"/>
      <c r="Q55" s="7">
        <f>(135*4)+(99*12)</f>
        <v>1728</v>
      </c>
      <c r="R55" s="59">
        <f t="shared" si="21"/>
        <v>1728</v>
      </c>
      <c r="S55" s="70">
        <f t="shared" si="18"/>
        <v>5328</v>
      </c>
      <c r="T55" s="47">
        <f t="shared" si="19"/>
        <v>1515.3200000000002</v>
      </c>
      <c r="U55" s="4"/>
      <c r="V55" s="4" t="s">
        <v>186</v>
      </c>
    </row>
    <row r="56" spans="1:22" x14ac:dyDescent="0.2">
      <c r="A56" s="4" t="s">
        <v>7</v>
      </c>
      <c r="B56" s="7">
        <v>7140</v>
      </c>
      <c r="C56" s="47">
        <f>780*1.8</f>
        <v>1404</v>
      </c>
      <c r="D56" s="7"/>
      <c r="E56" s="7"/>
      <c r="F56" s="7">
        <f>780*1.2</f>
        <v>936</v>
      </c>
      <c r="G56" s="59">
        <f t="shared" si="20"/>
        <v>2340</v>
      </c>
      <c r="H56" s="47">
        <v>780</v>
      </c>
      <c r="I56" s="7">
        <v>780</v>
      </c>
      <c r="J56" s="7"/>
      <c r="K56" s="7"/>
      <c r="L56" s="7">
        <v>780</v>
      </c>
      <c r="M56" s="7"/>
      <c r="N56" s="7">
        <v>780</v>
      </c>
      <c r="O56" s="7"/>
      <c r="P56" s="7"/>
      <c r="Q56" s="7">
        <v>1800</v>
      </c>
      <c r="R56" s="59">
        <f t="shared" si="21"/>
        <v>4920</v>
      </c>
      <c r="S56" s="70">
        <f t="shared" si="18"/>
        <v>7260</v>
      </c>
      <c r="T56" s="47">
        <f t="shared" si="19"/>
        <v>120</v>
      </c>
      <c r="U56" s="4"/>
      <c r="V56" s="4" t="s">
        <v>133</v>
      </c>
    </row>
    <row r="57" spans="1:22" x14ac:dyDescent="0.2">
      <c r="A57" s="4" t="s">
        <v>8</v>
      </c>
      <c r="B57" s="7">
        <v>2380</v>
      </c>
      <c r="C57" s="47"/>
      <c r="D57" s="7"/>
      <c r="E57" s="7"/>
      <c r="F57" s="7">
        <v>600</v>
      </c>
      <c r="G57" s="59">
        <f t="shared" si="20"/>
        <v>600</v>
      </c>
      <c r="H57" s="47"/>
      <c r="I57" s="7"/>
      <c r="J57" s="7"/>
      <c r="K57" s="7"/>
      <c r="L57" s="7">
        <v>240</v>
      </c>
      <c r="M57" s="7"/>
      <c r="N57" s="7"/>
      <c r="O57" s="7"/>
      <c r="P57" s="7"/>
      <c r="Q57" s="7">
        <f>1200+800-L57</f>
        <v>1760</v>
      </c>
      <c r="R57" s="59">
        <f t="shared" si="21"/>
        <v>2000</v>
      </c>
      <c r="S57" s="70">
        <f t="shared" si="18"/>
        <v>2600</v>
      </c>
      <c r="T57" s="47">
        <f t="shared" si="19"/>
        <v>220</v>
      </c>
      <c r="U57" s="4"/>
      <c r="V57" s="4" t="s">
        <v>92</v>
      </c>
    </row>
    <row r="58" spans="1:22" x14ac:dyDescent="0.2">
      <c r="A58" s="4" t="s">
        <v>45</v>
      </c>
      <c r="B58" s="7">
        <v>4920</v>
      </c>
      <c r="C58" s="47"/>
      <c r="D58" s="7"/>
      <c r="E58" s="7"/>
      <c r="F58" s="7">
        <v>1200</v>
      </c>
      <c r="G58" s="59">
        <f t="shared" si="20"/>
        <v>1200</v>
      </c>
      <c r="H58" s="47">
        <v>240</v>
      </c>
      <c r="I58" s="7">
        <f>240+1500</f>
        <v>1740</v>
      </c>
      <c r="J58" s="7"/>
      <c r="K58" s="7"/>
      <c r="L58" s="7">
        <f>240+300</f>
        <v>540</v>
      </c>
      <c r="M58" s="7"/>
      <c r="N58" s="7"/>
      <c r="O58" s="7"/>
      <c r="P58" s="7"/>
      <c r="Q58" s="7">
        <v>1200</v>
      </c>
      <c r="R58" s="59">
        <f t="shared" si="21"/>
        <v>3720</v>
      </c>
      <c r="S58" s="70">
        <f t="shared" si="18"/>
        <v>4920</v>
      </c>
      <c r="T58" s="47">
        <f t="shared" si="19"/>
        <v>0</v>
      </c>
      <c r="U58" s="4"/>
      <c r="V58" s="4" t="s">
        <v>108</v>
      </c>
    </row>
    <row r="59" spans="1:22" x14ac:dyDescent="0.2">
      <c r="A59" s="4" t="s">
        <v>37</v>
      </c>
      <c r="B59" s="7">
        <v>1680</v>
      </c>
      <c r="C59" s="47"/>
      <c r="D59" s="7"/>
      <c r="E59" s="7"/>
      <c r="F59" s="7">
        <v>480</v>
      </c>
      <c r="G59" s="59">
        <f>C59+D59+F59</f>
        <v>480</v>
      </c>
      <c r="H59" s="47"/>
      <c r="I59" s="7"/>
      <c r="J59" s="7"/>
      <c r="K59" s="7"/>
      <c r="L59" s="7"/>
      <c r="M59" s="7"/>
      <c r="N59" s="7"/>
      <c r="O59" s="7"/>
      <c r="P59" s="7"/>
      <c r="Q59" s="7">
        <v>1200</v>
      </c>
      <c r="R59" s="59">
        <f t="shared" si="21"/>
        <v>1200</v>
      </c>
      <c r="S59" s="70">
        <f t="shared" si="18"/>
        <v>1680</v>
      </c>
      <c r="T59" s="47">
        <f t="shared" si="19"/>
        <v>0</v>
      </c>
      <c r="U59" s="4"/>
      <c r="V59" s="4" t="s">
        <v>139</v>
      </c>
    </row>
    <row r="60" spans="1:22" x14ac:dyDescent="0.2">
      <c r="A60" s="4" t="s">
        <v>46</v>
      </c>
      <c r="B60" s="7">
        <v>6603.9</v>
      </c>
      <c r="C60" s="47">
        <f>3360*0.4+484*0.4</f>
        <v>1537.6</v>
      </c>
      <c r="D60" s="7"/>
      <c r="E60" s="7"/>
      <c r="F60" s="37">
        <f>3360*0.6+484*0.6</f>
        <v>2306.4</v>
      </c>
      <c r="G60" s="59">
        <f t="shared" si="20"/>
        <v>3844</v>
      </c>
      <c r="H60" s="53">
        <f>36*12</f>
        <v>432</v>
      </c>
      <c r="I60" s="37">
        <v>432</v>
      </c>
      <c r="J60" s="37">
        <v>432</v>
      </c>
      <c r="K60" s="37"/>
      <c r="L60" s="37">
        <v>432</v>
      </c>
      <c r="M60" s="37">
        <v>432</v>
      </c>
      <c r="N60" s="37">
        <f>432*3</f>
        <v>1296</v>
      </c>
      <c r="O60" s="37"/>
      <c r="P60" s="37">
        <f>432</f>
        <v>432</v>
      </c>
      <c r="Q60" s="84">
        <f>260+260</f>
        <v>520</v>
      </c>
      <c r="R60" s="59">
        <f t="shared" si="21"/>
        <v>4408</v>
      </c>
      <c r="S60" s="70">
        <f t="shared" si="18"/>
        <v>8252</v>
      </c>
      <c r="T60" s="47">
        <f t="shared" si="19"/>
        <v>1648.1000000000004</v>
      </c>
      <c r="U60" s="4"/>
      <c r="V60" s="4" t="s">
        <v>140</v>
      </c>
    </row>
    <row r="61" spans="1:22" x14ac:dyDescent="0.2">
      <c r="A61" t="s">
        <v>9</v>
      </c>
      <c r="B61" s="7">
        <v>9810</v>
      </c>
      <c r="C61" s="47">
        <f>4800*0.4</f>
        <v>1920</v>
      </c>
      <c r="D61" s="7"/>
      <c r="E61" s="7"/>
      <c r="F61" s="7">
        <f>4800*0.6</f>
        <v>2880</v>
      </c>
      <c r="G61" s="59">
        <f t="shared" si="20"/>
        <v>4800</v>
      </c>
      <c r="H61" s="47">
        <v>240</v>
      </c>
      <c r="I61" s="7"/>
      <c r="J61" s="7"/>
      <c r="K61" s="7"/>
      <c r="L61" s="7">
        <v>240</v>
      </c>
      <c r="M61" s="7">
        <v>240</v>
      </c>
      <c r="N61" s="7">
        <v>480</v>
      </c>
      <c r="O61" s="7">
        <v>240</v>
      </c>
      <c r="P61" s="7">
        <v>240</v>
      </c>
      <c r="Q61" s="7">
        <v>3600</v>
      </c>
      <c r="R61" s="59">
        <f t="shared" si="21"/>
        <v>5280</v>
      </c>
      <c r="S61" s="70">
        <f t="shared" si="18"/>
        <v>10080</v>
      </c>
      <c r="T61" s="47">
        <f t="shared" si="19"/>
        <v>270</v>
      </c>
      <c r="U61" s="4"/>
      <c r="V61" s="4" t="s">
        <v>80</v>
      </c>
    </row>
    <row r="62" spans="1:22" x14ac:dyDescent="0.2">
      <c r="A62" t="s">
        <v>44</v>
      </c>
      <c r="B62" s="7">
        <v>4260</v>
      </c>
      <c r="C62" s="47">
        <v>1560</v>
      </c>
      <c r="D62" s="7"/>
      <c r="E62" s="7"/>
      <c r="F62" s="7">
        <f>3900-C62</f>
        <v>2340</v>
      </c>
      <c r="G62" s="59">
        <f t="shared" si="20"/>
        <v>3900</v>
      </c>
      <c r="H62" s="47">
        <v>60</v>
      </c>
      <c r="I62" s="7"/>
      <c r="J62" s="7"/>
      <c r="K62" s="7"/>
      <c r="L62" s="7">
        <v>60</v>
      </c>
      <c r="M62" s="7">
        <v>60</v>
      </c>
      <c r="N62" s="7">
        <v>240</v>
      </c>
      <c r="O62" s="7"/>
      <c r="P62" s="7">
        <v>60</v>
      </c>
      <c r="Q62" s="7">
        <v>60</v>
      </c>
      <c r="R62" s="59">
        <f t="shared" si="21"/>
        <v>540</v>
      </c>
      <c r="S62" s="70">
        <f t="shared" si="18"/>
        <v>4440</v>
      </c>
      <c r="T62" s="47">
        <f t="shared" si="19"/>
        <v>180</v>
      </c>
      <c r="U62" s="4"/>
      <c r="V62" s="4" t="s">
        <v>80</v>
      </c>
    </row>
    <row r="63" spans="1:22" x14ac:dyDescent="0.2">
      <c r="A63" s="21" t="s">
        <v>34</v>
      </c>
      <c r="B63" s="7">
        <v>6216</v>
      </c>
      <c r="C63" s="47">
        <f>5016*0.4</f>
        <v>2006.4</v>
      </c>
      <c r="D63" s="7"/>
      <c r="E63" s="7"/>
      <c r="F63" s="7">
        <f>5016*0.6</f>
        <v>3009.6</v>
      </c>
      <c r="G63" s="59">
        <f t="shared" si="20"/>
        <v>5016</v>
      </c>
      <c r="H63" s="47">
        <v>240</v>
      </c>
      <c r="I63" s="7"/>
      <c r="J63" s="7"/>
      <c r="K63" s="7"/>
      <c r="L63" s="7">
        <v>240</v>
      </c>
      <c r="M63" s="7">
        <v>240</v>
      </c>
      <c r="N63" s="7">
        <v>480</v>
      </c>
      <c r="O63" s="7"/>
      <c r="P63" s="7">
        <v>240</v>
      </c>
      <c r="Q63" s="7">
        <v>1200</v>
      </c>
      <c r="R63" s="59">
        <f t="shared" si="21"/>
        <v>2640</v>
      </c>
      <c r="S63" s="70">
        <f t="shared" si="18"/>
        <v>7656</v>
      </c>
      <c r="T63" s="47">
        <f t="shared" si="19"/>
        <v>1440</v>
      </c>
      <c r="U63" s="4"/>
      <c r="V63" s="4" t="s">
        <v>80</v>
      </c>
    </row>
    <row r="64" spans="1:22" x14ac:dyDescent="0.2">
      <c r="A64" s="4" t="s">
        <v>10</v>
      </c>
      <c r="B64" s="7">
        <v>4875</v>
      </c>
      <c r="C64" s="47"/>
      <c r="D64" s="7"/>
      <c r="E64" s="7"/>
      <c r="F64" s="7"/>
      <c r="G64" s="59"/>
      <c r="H64" s="47"/>
      <c r="I64" s="7"/>
      <c r="J64" s="7"/>
      <c r="K64" s="7"/>
      <c r="L64" s="7"/>
      <c r="M64" s="7"/>
      <c r="N64" s="7"/>
      <c r="O64" s="7"/>
      <c r="P64" s="7"/>
      <c r="Q64" s="7">
        <v>4920</v>
      </c>
      <c r="R64" s="59">
        <f t="shared" si="21"/>
        <v>4920</v>
      </c>
      <c r="S64" s="70">
        <f t="shared" si="18"/>
        <v>4920</v>
      </c>
      <c r="T64" s="47">
        <f t="shared" si="19"/>
        <v>45</v>
      </c>
      <c r="U64" s="4"/>
      <c r="V64" s="4" t="s">
        <v>128</v>
      </c>
    </row>
    <row r="65" spans="1:23" x14ac:dyDescent="0.2">
      <c r="A65" s="4" t="s">
        <v>11</v>
      </c>
      <c r="B65" s="7">
        <v>300</v>
      </c>
      <c r="C65" s="47"/>
      <c r="D65" s="7"/>
      <c r="E65" s="7"/>
      <c r="F65" s="7"/>
      <c r="G65" s="59"/>
      <c r="H65" s="47"/>
      <c r="I65" s="7"/>
      <c r="J65" s="7"/>
      <c r="K65" s="7"/>
      <c r="L65" s="7"/>
      <c r="M65" s="7"/>
      <c r="N65" s="7"/>
      <c r="O65" s="7"/>
      <c r="P65" s="7"/>
      <c r="Q65" s="7"/>
      <c r="R65" s="59">
        <f t="shared" si="21"/>
        <v>0</v>
      </c>
      <c r="S65" s="70">
        <f t="shared" si="18"/>
        <v>0</v>
      </c>
      <c r="T65" s="47">
        <f t="shared" si="19"/>
        <v>-300</v>
      </c>
      <c r="U65" s="4"/>
      <c r="V65" s="4" t="s">
        <v>93</v>
      </c>
    </row>
    <row r="66" spans="1:23" x14ac:dyDescent="0.2">
      <c r="A66" s="4" t="s">
        <v>12</v>
      </c>
      <c r="B66" s="7">
        <v>50400</v>
      </c>
      <c r="C66" s="47"/>
      <c r="D66" s="7"/>
      <c r="E66" s="7"/>
      <c r="F66" s="7">
        <f>20400-C66</f>
        <v>20400</v>
      </c>
      <c r="G66" s="59">
        <f t="shared" ref="G66:G71" si="22">C66+D66+F66</f>
        <v>20400</v>
      </c>
      <c r="H66" s="47"/>
      <c r="I66" s="7"/>
      <c r="J66" s="7">
        <f>450*12</f>
        <v>5400</v>
      </c>
      <c r="K66" s="7"/>
      <c r="L66" s="7">
        <v>1800</v>
      </c>
      <c r="M66" s="7">
        <v>2400</v>
      </c>
      <c r="N66" s="7"/>
      <c r="O66" s="7"/>
      <c r="P66" s="7">
        <v>2400</v>
      </c>
      <c r="Q66" s="7">
        <v>9600</v>
      </c>
      <c r="R66" s="59">
        <f t="shared" si="21"/>
        <v>21600</v>
      </c>
      <c r="S66" s="70">
        <f t="shared" si="18"/>
        <v>42000</v>
      </c>
      <c r="T66" s="47">
        <f t="shared" si="19"/>
        <v>-8400</v>
      </c>
      <c r="U66" s="4"/>
      <c r="V66" s="4" t="s">
        <v>129</v>
      </c>
    </row>
    <row r="67" spans="1:23" x14ac:dyDescent="0.2">
      <c r="A67" s="4" t="s">
        <v>13</v>
      </c>
      <c r="B67" s="7">
        <v>780</v>
      </c>
      <c r="C67" s="47"/>
      <c r="D67" s="7"/>
      <c r="E67" s="7"/>
      <c r="F67" s="7">
        <v>360</v>
      </c>
      <c r="G67" s="59">
        <f t="shared" si="22"/>
        <v>360</v>
      </c>
      <c r="H67" s="47"/>
      <c r="I67" s="7"/>
      <c r="J67" s="7"/>
      <c r="K67" s="7"/>
      <c r="L67" s="7"/>
      <c r="M67" s="7"/>
      <c r="N67" s="7"/>
      <c r="O67" s="7"/>
      <c r="P67" s="7"/>
      <c r="Q67" s="7">
        <v>360</v>
      </c>
      <c r="R67" s="59">
        <f t="shared" si="21"/>
        <v>360</v>
      </c>
      <c r="S67" s="70">
        <f t="shared" si="18"/>
        <v>720</v>
      </c>
      <c r="T67" s="47">
        <f t="shared" si="19"/>
        <v>-60</v>
      </c>
      <c r="U67" s="4"/>
      <c r="V67" s="4" t="s">
        <v>189</v>
      </c>
      <c r="W67" s="15"/>
    </row>
    <row r="68" spans="1:23" x14ac:dyDescent="0.2">
      <c r="A68" s="4" t="s">
        <v>181</v>
      </c>
      <c r="B68" s="7"/>
      <c r="C68" s="47"/>
      <c r="D68" s="7"/>
      <c r="E68" s="7"/>
      <c r="F68" s="7"/>
      <c r="G68" s="59"/>
      <c r="H68" s="47"/>
      <c r="I68" s="7"/>
      <c r="J68" s="7"/>
      <c r="K68" s="7"/>
      <c r="L68" s="7"/>
      <c r="M68" s="7"/>
      <c r="N68" s="7">
        <f>N94-422000</f>
        <v>1628000</v>
      </c>
      <c r="O68" s="7"/>
      <c r="P68" s="7">
        <v>10000</v>
      </c>
      <c r="Q68" s="7"/>
      <c r="R68" s="59">
        <f t="shared" si="21"/>
        <v>1638000</v>
      </c>
      <c r="S68" s="70">
        <f t="shared" si="18"/>
        <v>1638000</v>
      </c>
      <c r="T68" s="47">
        <f t="shared" si="19"/>
        <v>1638000</v>
      </c>
      <c r="U68" s="4"/>
      <c r="V68" s="4" t="s">
        <v>188</v>
      </c>
      <c r="W68" s="15"/>
    </row>
    <row r="69" spans="1:23" x14ac:dyDescent="0.2">
      <c r="A69" s="4" t="s">
        <v>223</v>
      </c>
      <c r="B69" s="7">
        <v>20184</v>
      </c>
      <c r="C69" s="47">
        <v>2735.81</v>
      </c>
      <c r="D69" s="7"/>
      <c r="E69" s="7"/>
      <c r="F69" s="67">
        <f>6720-C69+(30*12)</f>
        <v>4344.1900000000005</v>
      </c>
      <c r="G69" s="59">
        <f t="shared" si="22"/>
        <v>7080</v>
      </c>
      <c r="H69" s="47">
        <v>720</v>
      </c>
      <c r="I69" s="7">
        <v>720</v>
      </c>
      <c r="J69" s="7"/>
      <c r="K69" s="7"/>
      <c r="L69" s="7">
        <v>720</v>
      </c>
      <c r="M69" s="7">
        <v>720</v>
      </c>
      <c r="N69" s="7">
        <f>720*4</f>
        <v>2880</v>
      </c>
      <c r="O69" s="7">
        <v>720</v>
      </c>
      <c r="P69" s="7">
        <f>60*12</f>
        <v>720</v>
      </c>
      <c r="Q69" s="7">
        <v>21000</v>
      </c>
      <c r="R69" s="59">
        <f t="shared" si="21"/>
        <v>28200</v>
      </c>
      <c r="S69" s="70">
        <f t="shared" si="18"/>
        <v>35280</v>
      </c>
      <c r="T69" s="47">
        <f t="shared" si="19"/>
        <v>15096</v>
      </c>
      <c r="U69" s="4"/>
      <c r="V69" s="4" t="s">
        <v>109</v>
      </c>
    </row>
    <row r="70" spans="1:23" x14ac:dyDescent="0.2">
      <c r="A70" s="4" t="s">
        <v>127</v>
      </c>
      <c r="B70" s="7">
        <v>23103</v>
      </c>
      <c r="C70" s="47">
        <v>8444</v>
      </c>
      <c r="D70" s="7"/>
      <c r="E70" s="7"/>
      <c r="F70" s="7">
        <v>2400</v>
      </c>
      <c r="G70" s="59">
        <f t="shared" si="22"/>
        <v>10844</v>
      </c>
      <c r="H70" s="47">
        <v>1200</v>
      </c>
      <c r="I70" s="7">
        <v>2400</v>
      </c>
      <c r="J70" s="7">
        <v>1800</v>
      </c>
      <c r="K70" s="7"/>
      <c r="L70" s="7">
        <v>1800</v>
      </c>
      <c r="M70" s="7">
        <v>1800</v>
      </c>
      <c r="N70" s="7">
        <v>4800</v>
      </c>
      <c r="O70" s="7">
        <v>1200</v>
      </c>
      <c r="P70" s="7">
        <v>1800</v>
      </c>
      <c r="Q70" s="7">
        <v>0</v>
      </c>
      <c r="R70" s="59">
        <f t="shared" si="21"/>
        <v>16800</v>
      </c>
      <c r="S70" s="70">
        <f t="shared" si="18"/>
        <v>27644</v>
      </c>
      <c r="T70" s="47">
        <f t="shared" si="19"/>
        <v>4541</v>
      </c>
      <c r="U70" s="4"/>
      <c r="V70" s="4" t="s">
        <v>224</v>
      </c>
      <c r="W70" s="85"/>
    </row>
    <row r="71" spans="1:23" x14ac:dyDescent="0.2">
      <c r="A71" s="4" t="s">
        <v>66</v>
      </c>
      <c r="B71" s="7">
        <v>4860</v>
      </c>
      <c r="C71" s="47"/>
      <c r="D71" s="7"/>
      <c r="E71" s="7"/>
      <c r="F71" s="7">
        <v>300</v>
      </c>
      <c r="G71" s="59">
        <f t="shared" si="22"/>
        <v>300</v>
      </c>
      <c r="H71" s="47">
        <v>360</v>
      </c>
      <c r="I71" s="7"/>
      <c r="J71" s="7"/>
      <c r="K71" s="7"/>
      <c r="L71" s="7">
        <v>600</v>
      </c>
      <c r="M71" s="7">
        <v>360</v>
      </c>
      <c r="N71" s="7">
        <v>600</v>
      </c>
      <c r="O71" s="7"/>
      <c r="P71" s="7">
        <v>600</v>
      </c>
      <c r="Q71" s="7">
        <v>3000</v>
      </c>
      <c r="R71" s="59">
        <f t="shared" si="21"/>
        <v>5520</v>
      </c>
      <c r="S71" s="70">
        <f t="shared" si="18"/>
        <v>5820</v>
      </c>
      <c r="T71" s="47">
        <f t="shared" si="19"/>
        <v>960</v>
      </c>
      <c r="U71" s="4"/>
      <c r="V71" s="4" t="s">
        <v>81</v>
      </c>
      <c r="W71" s="85"/>
    </row>
    <row r="72" spans="1:23" x14ac:dyDescent="0.2">
      <c r="A72" s="1" t="s">
        <v>14</v>
      </c>
      <c r="B72" s="7">
        <f>SUM(B50:B71)</f>
        <v>197574.58</v>
      </c>
      <c r="C72" s="47">
        <f>SUM(C50:C71)</f>
        <v>22797.809999999998</v>
      </c>
      <c r="D72" s="7">
        <f>SUM(D50:D71)</f>
        <v>0</v>
      </c>
      <c r="E72" s="7"/>
      <c r="F72" s="7">
        <f>SUM(F50:F71)</f>
        <v>62656.19</v>
      </c>
      <c r="G72" s="59">
        <f>C72+F72</f>
        <v>85454</v>
      </c>
      <c r="H72" s="47">
        <f>SUM(H50:H71)</f>
        <v>4632</v>
      </c>
      <c r="I72" s="7">
        <f>SUM(I50:I71)</f>
        <v>6432</v>
      </c>
      <c r="J72" s="7">
        <f>SUM(J50:J71)</f>
        <v>7632</v>
      </c>
      <c r="K72" s="7">
        <f>SUM(K50:K71)</f>
        <v>0</v>
      </c>
      <c r="L72" s="7">
        <f t="shared" ref="L72:S72" si="23">SUM(L50:L71)</f>
        <v>8193</v>
      </c>
      <c r="M72" s="7">
        <f t="shared" si="23"/>
        <v>6377</v>
      </c>
      <c r="N72" s="7">
        <f t="shared" si="23"/>
        <v>1640356</v>
      </c>
      <c r="O72" s="7">
        <f t="shared" si="23"/>
        <v>2960</v>
      </c>
      <c r="P72" s="7">
        <f t="shared" si="23"/>
        <v>16492</v>
      </c>
      <c r="Q72" s="7">
        <f t="shared" si="23"/>
        <v>115448</v>
      </c>
      <c r="R72" s="59">
        <f t="shared" si="23"/>
        <v>1808522</v>
      </c>
      <c r="S72" s="70">
        <f t="shared" si="23"/>
        <v>1893976</v>
      </c>
      <c r="T72" s="47">
        <f>S72-B72</f>
        <v>1696401.42</v>
      </c>
      <c r="U72" s="6"/>
      <c r="V72" s="40">
        <f>T72/B72</f>
        <v>8.5861319811485863</v>
      </c>
      <c r="W72" s="85"/>
    </row>
    <row r="73" spans="1:23" x14ac:dyDescent="0.2">
      <c r="A73" s="1" t="s">
        <v>15</v>
      </c>
      <c r="B73" s="8">
        <f>B72+B47</f>
        <v>1273682.8700000001</v>
      </c>
      <c r="C73" s="48">
        <f t="shared" ref="C73:K73" si="24">C72+C47</f>
        <v>147463.42237035002</v>
      </c>
      <c r="D73" s="8">
        <f t="shared" si="24"/>
        <v>0</v>
      </c>
      <c r="E73" s="8"/>
      <c r="F73" s="8">
        <f t="shared" si="24"/>
        <v>299910.96127214999</v>
      </c>
      <c r="G73" s="60">
        <f t="shared" si="24"/>
        <v>447374.38364250003</v>
      </c>
      <c r="H73" s="48">
        <f t="shared" si="24"/>
        <v>44135.186077339589</v>
      </c>
      <c r="I73" s="8">
        <f t="shared" si="24"/>
        <v>71818.991700000013</v>
      </c>
      <c r="J73" s="8">
        <f t="shared" si="24"/>
        <v>122137.92426090446</v>
      </c>
      <c r="K73" s="8">
        <f t="shared" si="24"/>
        <v>63013.530695800007</v>
      </c>
      <c r="L73" s="8">
        <f t="shared" ref="L73:S73" si="25">L72+L47</f>
        <v>115433.85164971615</v>
      </c>
      <c r="M73" s="8">
        <f t="shared" si="25"/>
        <v>72501.672210493009</v>
      </c>
      <c r="N73" s="8">
        <f t="shared" si="25"/>
        <v>2055747.1954788645</v>
      </c>
      <c r="O73" s="8">
        <f t="shared" si="25"/>
        <v>34952.077909200001</v>
      </c>
      <c r="P73" s="8">
        <f t="shared" si="25"/>
        <v>113769.69032313966</v>
      </c>
      <c r="Q73" s="8">
        <f t="shared" si="25"/>
        <v>115448</v>
      </c>
      <c r="R73" s="60">
        <f>H73+I73+J73+K73+L73+M73+N73+O73+P73+Q73</f>
        <v>2808958.1203054572</v>
      </c>
      <c r="S73" s="71">
        <f t="shared" si="25"/>
        <v>3256332.5039479574</v>
      </c>
      <c r="T73" s="48">
        <f>T47+T72</f>
        <v>1982649.6339479575</v>
      </c>
      <c r="U73" s="31"/>
      <c r="V73" s="92">
        <f>T73/B73</f>
        <v>1.5566273839797793</v>
      </c>
      <c r="W73" s="85"/>
    </row>
    <row r="74" spans="1:23" x14ac:dyDescent="0.2">
      <c r="A74" s="4"/>
      <c r="B74" s="4"/>
      <c r="C74" s="45"/>
      <c r="D74" s="4"/>
      <c r="E74" s="4"/>
      <c r="F74" s="4"/>
      <c r="G74" s="59"/>
      <c r="H74" s="47"/>
      <c r="I74" s="4"/>
      <c r="J74" s="4"/>
      <c r="K74" s="4"/>
      <c r="L74" s="4"/>
      <c r="M74" s="4"/>
      <c r="N74" s="4"/>
      <c r="O74" s="4"/>
      <c r="P74" s="4"/>
      <c r="Q74" s="4"/>
      <c r="R74" s="58"/>
      <c r="S74" s="73"/>
      <c r="T74" s="47"/>
      <c r="U74" s="4"/>
      <c r="V74" s="4"/>
    </row>
    <row r="75" spans="1:23" x14ac:dyDescent="0.2">
      <c r="A75" s="1" t="s">
        <v>16</v>
      </c>
      <c r="B75" s="30" t="s">
        <v>26</v>
      </c>
      <c r="C75" s="49" t="s">
        <v>113</v>
      </c>
      <c r="D75" s="30" t="s">
        <v>90</v>
      </c>
      <c r="E75" s="30"/>
      <c r="F75" s="30" t="s">
        <v>58</v>
      </c>
      <c r="G75" s="61" t="s">
        <v>25</v>
      </c>
      <c r="H75" s="49" t="s">
        <v>55</v>
      </c>
      <c r="I75" s="30" t="s">
        <v>61</v>
      </c>
      <c r="J75" s="30" t="s">
        <v>30</v>
      </c>
      <c r="K75" s="30" t="s">
        <v>172</v>
      </c>
      <c r="L75" s="30" t="s">
        <v>57</v>
      </c>
      <c r="M75" s="30" t="s">
        <v>70</v>
      </c>
      <c r="N75" s="30" t="s">
        <v>149</v>
      </c>
      <c r="O75" s="30" t="s">
        <v>183</v>
      </c>
      <c r="P75" s="30" t="s">
        <v>125</v>
      </c>
      <c r="Q75" s="30" t="s">
        <v>65</v>
      </c>
      <c r="R75" s="61" t="s">
        <v>31</v>
      </c>
      <c r="S75" s="72" t="s">
        <v>26</v>
      </c>
      <c r="T75" s="49" t="s">
        <v>67</v>
      </c>
      <c r="U75" s="4"/>
      <c r="V75" s="4"/>
    </row>
    <row r="76" spans="1:23" x14ac:dyDescent="0.2">
      <c r="A76" s="4" t="s">
        <v>17</v>
      </c>
      <c r="B76" s="7">
        <v>180000</v>
      </c>
      <c r="C76" s="47"/>
      <c r="D76" s="7"/>
      <c r="E76" s="7"/>
      <c r="F76" s="7">
        <f>36000-F78</f>
        <v>34000</v>
      </c>
      <c r="G76" s="59">
        <f>C76+D76+F76</f>
        <v>34000</v>
      </c>
      <c r="H76" s="47"/>
      <c r="I76" s="7"/>
      <c r="J76" s="7"/>
      <c r="K76" s="7"/>
      <c r="L76" s="7"/>
      <c r="M76" s="7"/>
      <c r="N76" s="7"/>
      <c r="O76" s="7"/>
      <c r="P76" s="7"/>
      <c r="Q76" s="7">
        <f>144000+F78</f>
        <v>146000</v>
      </c>
      <c r="R76" s="59">
        <f>H76+I76+J76+K76+L76+M76+N76+O76+P76+Q76</f>
        <v>146000</v>
      </c>
      <c r="S76" s="70">
        <f t="shared" ref="S76:S102" si="26">G76+R76</f>
        <v>180000</v>
      </c>
      <c r="T76" s="47">
        <f t="shared" ref="T76:T94" si="27">S76-B76</f>
        <v>0</v>
      </c>
      <c r="U76" s="4"/>
      <c r="V76" s="4" t="s">
        <v>82</v>
      </c>
    </row>
    <row r="77" spans="1:23" x14ac:dyDescent="0.2">
      <c r="A77" s="4" t="s">
        <v>48</v>
      </c>
      <c r="B77" s="7">
        <v>14400</v>
      </c>
      <c r="C77" s="47"/>
      <c r="D77" s="7"/>
      <c r="E77" s="7"/>
      <c r="F77" s="7">
        <v>12000</v>
      </c>
      <c r="G77" s="59">
        <f t="shared" ref="G77:G104" si="28">C77+D77+F77</f>
        <v>12000</v>
      </c>
      <c r="H77" s="47"/>
      <c r="I77" s="7"/>
      <c r="J77" s="7"/>
      <c r="K77" s="7"/>
      <c r="L77" s="7"/>
      <c r="M77" s="7"/>
      <c r="N77" s="7"/>
      <c r="O77" s="7"/>
      <c r="P77" s="7"/>
      <c r="Q77" s="7"/>
      <c r="R77" s="59">
        <f t="shared" ref="R77:R104" si="29">H77+I77+J77+K77+L77+M77+N77+O77+P77+Q77</f>
        <v>0</v>
      </c>
      <c r="S77" s="70">
        <f t="shared" si="26"/>
        <v>12000</v>
      </c>
      <c r="T77" s="47">
        <f t="shared" si="27"/>
        <v>-2400</v>
      </c>
      <c r="U77" s="4"/>
      <c r="V77" s="4" t="s">
        <v>119</v>
      </c>
    </row>
    <row r="78" spans="1:23" x14ac:dyDescent="0.2">
      <c r="A78" s="4" t="s">
        <v>76</v>
      </c>
      <c r="B78" s="7">
        <v>16200</v>
      </c>
      <c r="C78" s="47"/>
      <c r="D78" s="7"/>
      <c r="E78" s="7"/>
      <c r="F78" s="7">
        <v>2000</v>
      </c>
      <c r="G78" s="59">
        <f t="shared" si="28"/>
        <v>2000</v>
      </c>
      <c r="H78" s="47"/>
      <c r="I78" s="7"/>
      <c r="J78" s="7"/>
      <c r="K78" s="7"/>
      <c r="L78" s="7"/>
      <c r="M78" s="7"/>
      <c r="N78" s="7"/>
      <c r="O78" s="7"/>
      <c r="P78" s="7"/>
      <c r="Q78" s="39">
        <v>43000</v>
      </c>
      <c r="R78" s="59">
        <f t="shared" si="29"/>
        <v>43000</v>
      </c>
      <c r="S78" s="70">
        <f t="shared" si="26"/>
        <v>45000</v>
      </c>
      <c r="T78" s="47">
        <f t="shared" si="27"/>
        <v>28800</v>
      </c>
      <c r="U78" s="4"/>
      <c r="V78" s="4" t="s">
        <v>232</v>
      </c>
    </row>
    <row r="79" spans="1:23" x14ac:dyDescent="0.2">
      <c r="A79" s="4" t="s">
        <v>49</v>
      </c>
      <c r="B79" s="7">
        <v>88800</v>
      </c>
      <c r="C79" s="47"/>
      <c r="D79" s="7"/>
      <c r="E79" s="7"/>
      <c r="F79" s="7">
        <v>48000</v>
      </c>
      <c r="G79" s="59">
        <f t="shared" si="28"/>
        <v>48000</v>
      </c>
      <c r="H79" s="47"/>
      <c r="I79" s="7"/>
      <c r="J79" s="7"/>
      <c r="K79" s="7"/>
      <c r="L79" s="7"/>
      <c r="M79" s="7"/>
      <c r="N79" s="7"/>
      <c r="O79" s="7"/>
      <c r="P79" s="7"/>
      <c r="Q79" s="7">
        <v>60000</v>
      </c>
      <c r="R79" s="59">
        <f t="shared" si="29"/>
        <v>60000</v>
      </c>
      <c r="S79" s="70">
        <f t="shared" si="26"/>
        <v>108000</v>
      </c>
      <c r="T79" s="47">
        <f t="shared" si="27"/>
        <v>19200</v>
      </c>
      <c r="U79" s="4"/>
      <c r="V79" s="4" t="s">
        <v>120</v>
      </c>
    </row>
    <row r="80" spans="1:23" x14ac:dyDescent="0.2">
      <c r="A80" s="4" t="s">
        <v>50</v>
      </c>
      <c r="B80" s="7">
        <v>12000</v>
      </c>
      <c r="C80" s="47"/>
      <c r="D80" s="7"/>
      <c r="E80" s="7"/>
      <c r="F80" s="7">
        <v>6000</v>
      </c>
      <c r="G80" s="59">
        <f t="shared" si="28"/>
        <v>6000</v>
      </c>
      <c r="H80" s="47"/>
      <c r="I80" s="7"/>
      <c r="J80" s="7"/>
      <c r="K80" s="7"/>
      <c r="L80" s="7"/>
      <c r="M80" s="7"/>
      <c r="N80" s="7"/>
      <c r="O80" s="7"/>
      <c r="P80" s="7"/>
      <c r="Q80" s="7">
        <v>6000</v>
      </c>
      <c r="R80" s="59">
        <f t="shared" si="29"/>
        <v>6000</v>
      </c>
      <c r="S80" s="70">
        <f t="shared" si="26"/>
        <v>12000</v>
      </c>
      <c r="T80" s="47">
        <f t="shared" si="27"/>
        <v>0</v>
      </c>
      <c r="U80" s="4"/>
      <c r="V80" s="4" t="s">
        <v>225</v>
      </c>
    </row>
    <row r="81" spans="1:22" x14ac:dyDescent="0.2">
      <c r="A81" s="4" t="s">
        <v>64</v>
      </c>
      <c r="B81" s="7">
        <v>45000</v>
      </c>
      <c r="C81" s="47"/>
      <c r="D81" s="7"/>
      <c r="E81" s="7"/>
      <c r="F81" s="7"/>
      <c r="G81" s="59">
        <f t="shared" si="28"/>
        <v>0</v>
      </c>
      <c r="H81" s="47"/>
      <c r="I81" s="7"/>
      <c r="J81" s="7"/>
      <c r="K81" s="7"/>
      <c r="L81" s="7">
        <v>60000</v>
      </c>
      <c r="M81" s="7"/>
      <c r="N81" s="7"/>
      <c r="O81" s="7"/>
      <c r="P81" s="7"/>
      <c r="Q81" s="7"/>
      <c r="R81" s="59">
        <f t="shared" si="29"/>
        <v>60000</v>
      </c>
      <c r="S81" s="70">
        <f t="shared" si="26"/>
        <v>60000</v>
      </c>
      <c r="T81" s="47">
        <f t="shared" si="27"/>
        <v>15000</v>
      </c>
      <c r="U81" s="4"/>
      <c r="V81" s="4" t="s">
        <v>83</v>
      </c>
    </row>
    <row r="82" spans="1:22" x14ac:dyDescent="0.2">
      <c r="A82" s="4" t="s">
        <v>72</v>
      </c>
      <c r="B82" s="7">
        <v>65000</v>
      </c>
      <c r="C82" s="47"/>
      <c r="D82" s="7"/>
      <c r="E82" s="7"/>
      <c r="F82" s="7"/>
      <c r="G82" s="59">
        <f t="shared" si="28"/>
        <v>0</v>
      </c>
      <c r="H82" s="47"/>
      <c r="I82" s="7"/>
      <c r="J82" s="7"/>
      <c r="K82" s="7"/>
      <c r="L82" s="7">
        <v>45000</v>
      </c>
      <c r="M82" s="7"/>
      <c r="N82" s="7"/>
      <c r="O82" s="7">
        <v>20000</v>
      </c>
      <c r="P82" s="7"/>
      <c r="Q82" s="7">
        <v>20000</v>
      </c>
      <c r="R82" s="59">
        <f t="shared" si="29"/>
        <v>85000</v>
      </c>
      <c r="S82" s="70">
        <f t="shared" si="26"/>
        <v>85000</v>
      </c>
      <c r="T82" s="47">
        <f t="shared" si="27"/>
        <v>20000</v>
      </c>
      <c r="U82" s="4"/>
      <c r="V82" s="4" t="s">
        <v>83</v>
      </c>
    </row>
    <row r="83" spans="1:22" x14ac:dyDescent="0.2">
      <c r="A83" s="4" t="s">
        <v>71</v>
      </c>
      <c r="B83" s="7">
        <v>50000</v>
      </c>
      <c r="C83" s="47"/>
      <c r="D83" s="7"/>
      <c r="E83" s="7"/>
      <c r="F83" s="7"/>
      <c r="G83" s="59">
        <f t="shared" si="28"/>
        <v>0</v>
      </c>
      <c r="H83" s="47"/>
      <c r="I83" s="7"/>
      <c r="J83" s="7"/>
      <c r="K83" s="7"/>
      <c r="L83" s="7"/>
      <c r="M83" s="7">
        <v>60000</v>
      </c>
      <c r="N83" s="7"/>
      <c r="O83" s="7"/>
      <c r="P83" s="7"/>
      <c r="Q83" s="7"/>
      <c r="R83" s="59">
        <f t="shared" si="29"/>
        <v>60000</v>
      </c>
      <c r="S83" s="70">
        <f t="shared" si="26"/>
        <v>60000</v>
      </c>
      <c r="T83" s="47">
        <f t="shared" si="27"/>
        <v>10000</v>
      </c>
      <c r="U83" s="4"/>
      <c r="V83" s="4" t="s">
        <v>83</v>
      </c>
    </row>
    <row r="84" spans="1:22" x14ac:dyDescent="0.2">
      <c r="A84" s="4" t="s">
        <v>134</v>
      </c>
      <c r="B84" s="7">
        <v>15000</v>
      </c>
      <c r="C84" s="47"/>
      <c r="D84" s="7"/>
      <c r="E84" s="7"/>
      <c r="F84" s="7"/>
      <c r="G84" s="59">
        <f t="shared" si="28"/>
        <v>0</v>
      </c>
      <c r="H84" s="47"/>
      <c r="I84" s="7"/>
      <c r="J84" s="7"/>
      <c r="K84" s="7"/>
      <c r="L84" s="7"/>
      <c r="M84" s="7"/>
      <c r="N84" s="7"/>
      <c r="O84" s="7"/>
      <c r="P84" s="7"/>
      <c r="Q84" s="7"/>
      <c r="R84" s="59">
        <f t="shared" si="29"/>
        <v>0</v>
      </c>
      <c r="S84" s="70">
        <f t="shared" si="26"/>
        <v>0</v>
      </c>
      <c r="T84" s="47">
        <f t="shared" si="27"/>
        <v>-15000</v>
      </c>
      <c r="U84" s="4"/>
      <c r="V84" s="4" t="s">
        <v>226</v>
      </c>
    </row>
    <row r="85" spans="1:22" x14ac:dyDescent="0.2">
      <c r="A85" s="4" t="s">
        <v>113</v>
      </c>
      <c r="B85" s="7">
        <v>192640</v>
      </c>
      <c r="C85" s="47">
        <f>154112</f>
        <v>154112</v>
      </c>
      <c r="D85" s="7"/>
      <c r="E85" s="7"/>
      <c r="F85" s="7"/>
      <c r="G85" s="59">
        <f t="shared" si="28"/>
        <v>154112</v>
      </c>
      <c r="H85" s="47"/>
      <c r="I85" s="7"/>
      <c r="J85" s="7"/>
      <c r="K85" s="7"/>
      <c r="L85" s="7"/>
      <c r="M85" s="7"/>
      <c r="N85" s="7"/>
      <c r="O85" s="7"/>
      <c r="P85" s="7"/>
      <c r="Q85" s="7"/>
      <c r="R85" s="59">
        <f t="shared" si="29"/>
        <v>0</v>
      </c>
      <c r="S85" s="70">
        <f t="shared" si="26"/>
        <v>154112</v>
      </c>
      <c r="T85" s="47">
        <f t="shared" si="27"/>
        <v>-38528</v>
      </c>
      <c r="U85" s="4"/>
      <c r="V85" s="4" t="s">
        <v>130</v>
      </c>
    </row>
    <row r="86" spans="1:22" hidden="1" x14ac:dyDescent="0.2">
      <c r="A86" s="4" t="s">
        <v>69</v>
      </c>
      <c r="B86" s="7">
        <v>0</v>
      </c>
      <c r="C86" s="47"/>
      <c r="D86" s="7"/>
      <c r="E86" s="7"/>
      <c r="F86" s="7"/>
      <c r="G86" s="59">
        <f t="shared" si="28"/>
        <v>0</v>
      </c>
      <c r="H86" s="47"/>
      <c r="I86" s="7"/>
      <c r="J86" s="7"/>
      <c r="K86" s="7"/>
      <c r="L86" s="7"/>
      <c r="M86" s="7"/>
      <c r="N86" s="7"/>
      <c r="O86" s="7"/>
      <c r="P86" s="7"/>
      <c r="Q86" s="7"/>
      <c r="R86" s="59">
        <f t="shared" si="29"/>
        <v>0</v>
      </c>
      <c r="S86" s="70">
        <f t="shared" si="26"/>
        <v>0</v>
      </c>
      <c r="T86" s="47">
        <f t="shared" si="27"/>
        <v>0</v>
      </c>
      <c r="U86" s="4"/>
      <c r="V86" s="4" t="s">
        <v>84</v>
      </c>
    </row>
    <row r="87" spans="1:22" x14ac:dyDescent="0.2">
      <c r="A87" s="4" t="s">
        <v>51</v>
      </c>
      <c r="B87" s="7">
        <v>5000</v>
      </c>
      <c r="C87" s="47"/>
      <c r="D87" s="7"/>
      <c r="E87" s="7"/>
      <c r="F87" s="7">
        <v>5000</v>
      </c>
      <c r="G87" s="59">
        <f t="shared" si="28"/>
        <v>5000</v>
      </c>
      <c r="H87" s="47"/>
      <c r="I87" s="7"/>
      <c r="J87" s="7"/>
      <c r="K87" s="7"/>
      <c r="L87" s="7"/>
      <c r="M87" s="7"/>
      <c r="N87" s="7"/>
      <c r="O87" s="7"/>
      <c r="P87" s="7"/>
      <c r="Q87" s="7"/>
      <c r="R87" s="59">
        <f t="shared" si="29"/>
        <v>0</v>
      </c>
      <c r="S87" s="70">
        <f t="shared" si="26"/>
        <v>5000</v>
      </c>
      <c r="T87" s="47">
        <f t="shared" si="27"/>
        <v>0</v>
      </c>
      <c r="U87" s="4"/>
      <c r="V87" s="4" t="s">
        <v>83</v>
      </c>
    </row>
    <row r="88" spans="1:22" x14ac:dyDescent="0.2">
      <c r="A88" s="4" t="s">
        <v>68</v>
      </c>
      <c r="B88" s="7">
        <v>16000</v>
      </c>
      <c r="C88" s="47"/>
      <c r="D88" s="7"/>
      <c r="E88" s="7"/>
      <c r="F88" s="7">
        <v>18000</v>
      </c>
      <c r="G88" s="59">
        <f t="shared" si="28"/>
        <v>18000</v>
      </c>
      <c r="H88" s="47"/>
      <c r="I88" s="7"/>
      <c r="J88" s="7"/>
      <c r="K88" s="7"/>
      <c r="L88" s="7"/>
      <c r="M88" s="7"/>
      <c r="N88" s="7"/>
      <c r="O88" s="7"/>
      <c r="P88" s="7"/>
      <c r="Q88" s="7"/>
      <c r="R88" s="59">
        <f t="shared" si="29"/>
        <v>0</v>
      </c>
      <c r="S88" s="70">
        <f t="shared" si="26"/>
        <v>18000</v>
      </c>
      <c r="T88" s="47">
        <f t="shared" si="27"/>
        <v>2000</v>
      </c>
      <c r="U88" s="4"/>
      <c r="V88" s="4" t="s">
        <v>85</v>
      </c>
    </row>
    <row r="89" spans="1:22" x14ac:dyDescent="0.2">
      <c r="A89" s="4" t="s">
        <v>132</v>
      </c>
      <c r="B89" s="7">
        <v>19200</v>
      </c>
      <c r="C89" s="47"/>
      <c r="D89" s="7"/>
      <c r="E89" s="7"/>
      <c r="F89" s="7">
        <v>9600</v>
      </c>
      <c r="G89" s="59">
        <f t="shared" si="28"/>
        <v>9600</v>
      </c>
      <c r="H89" s="47">
        <v>9600</v>
      </c>
      <c r="I89" s="7"/>
      <c r="J89" s="7"/>
      <c r="K89" s="7"/>
      <c r="L89" s="7"/>
      <c r="M89" s="7"/>
      <c r="N89" s="7"/>
      <c r="O89" s="7"/>
      <c r="P89" s="7"/>
      <c r="Q89" s="7"/>
      <c r="R89" s="59">
        <f t="shared" si="29"/>
        <v>9600</v>
      </c>
      <c r="S89" s="70">
        <f t="shared" si="26"/>
        <v>19200</v>
      </c>
      <c r="T89" s="47">
        <f t="shared" si="27"/>
        <v>0</v>
      </c>
      <c r="U89" s="4"/>
      <c r="V89" s="4" t="s">
        <v>131</v>
      </c>
    </row>
    <row r="90" spans="1:22" x14ac:dyDescent="0.2">
      <c r="A90" s="4" t="s">
        <v>154</v>
      </c>
      <c r="B90" s="7">
        <v>14000</v>
      </c>
      <c r="C90" s="47"/>
      <c r="D90" s="7"/>
      <c r="E90" s="7"/>
      <c r="F90" s="7"/>
      <c r="G90" s="59"/>
      <c r="H90" s="47">
        <v>5000</v>
      </c>
      <c r="I90" s="7"/>
      <c r="J90" s="7"/>
      <c r="K90" s="7"/>
      <c r="L90" s="7"/>
      <c r="M90" s="7"/>
      <c r="N90" s="7"/>
      <c r="O90" s="7"/>
      <c r="P90" s="7"/>
      <c r="Q90" s="7">
        <v>9000</v>
      </c>
      <c r="R90" s="59">
        <f t="shared" si="29"/>
        <v>14000</v>
      </c>
      <c r="S90" s="70">
        <f t="shared" si="26"/>
        <v>14000</v>
      </c>
      <c r="T90" s="47">
        <f t="shared" si="27"/>
        <v>0</v>
      </c>
      <c r="U90" s="4"/>
      <c r="V90" s="4"/>
    </row>
    <row r="91" spans="1:22" x14ac:dyDescent="0.2">
      <c r="A91" s="4" t="s">
        <v>146</v>
      </c>
      <c r="B91" s="7">
        <v>0</v>
      </c>
      <c r="C91" s="47"/>
      <c r="D91" s="7"/>
      <c r="E91" s="7"/>
      <c r="F91" s="7"/>
      <c r="G91" s="59">
        <f t="shared" si="28"/>
        <v>0</v>
      </c>
      <c r="H91" s="47"/>
      <c r="I91" s="7"/>
      <c r="J91" s="7"/>
      <c r="K91" s="7"/>
      <c r="L91" s="7"/>
      <c r="M91" s="7"/>
      <c r="N91" s="7"/>
      <c r="O91" s="7"/>
      <c r="P91" s="7"/>
      <c r="Q91" s="7"/>
      <c r="R91" s="59">
        <f t="shared" si="29"/>
        <v>0</v>
      </c>
      <c r="S91" s="70">
        <f>P91</f>
        <v>0</v>
      </c>
      <c r="T91" s="47">
        <f t="shared" si="27"/>
        <v>0</v>
      </c>
      <c r="U91" s="4"/>
      <c r="V91" s="4" t="s">
        <v>141</v>
      </c>
    </row>
    <row r="92" spans="1:22" x14ac:dyDescent="0.2">
      <c r="A92" s="4" t="s">
        <v>152</v>
      </c>
      <c r="B92" s="7">
        <v>30000</v>
      </c>
      <c r="C92" s="47"/>
      <c r="D92" s="7"/>
      <c r="E92" s="7"/>
      <c r="F92" s="7"/>
      <c r="G92" s="59"/>
      <c r="H92" s="47"/>
      <c r="I92" s="7"/>
      <c r="J92" s="7"/>
      <c r="K92" s="7"/>
      <c r="L92" s="7"/>
      <c r="M92" s="7"/>
      <c r="N92" s="7"/>
      <c r="O92" s="7"/>
      <c r="P92" s="7">
        <v>15000</v>
      </c>
      <c r="Q92" s="7"/>
      <c r="R92" s="59">
        <f t="shared" si="29"/>
        <v>15000</v>
      </c>
      <c r="S92" s="70">
        <f t="shared" si="26"/>
        <v>15000</v>
      </c>
      <c r="T92" s="47">
        <f t="shared" si="27"/>
        <v>-15000</v>
      </c>
      <c r="U92" s="4"/>
      <c r="V92" s="4"/>
    </row>
    <row r="93" spans="1:22" ht="15" x14ac:dyDescent="0.25">
      <c r="A93" s="4" t="s">
        <v>227</v>
      </c>
      <c r="B93" s="7">
        <v>80000</v>
      </c>
      <c r="C93" s="47"/>
      <c r="D93" s="7"/>
      <c r="E93" s="7"/>
      <c r="F93" s="7"/>
      <c r="G93" s="59"/>
      <c r="H93" s="47"/>
      <c r="I93" s="7"/>
      <c r="J93" s="7"/>
      <c r="K93" s="7"/>
      <c r="L93" s="7"/>
      <c r="M93" s="7"/>
      <c r="N93" s="93">
        <v>80000</v>
      </c>
      <c r="O93" s="7"/>
      <c r="P93" s="7"/>
      <c r="Q93" s="7"/>
      <c r="R93" s="59">
        <f t="shared" si="29"/>
        <v>80000</v>
      </c>
      <c r="S93" s="70">
        <f t="shared" si="26"/>
        <v>80000</v>
      </c>
      <c r="T93" s="47">
        <f t="shared" si="27"/>
        <v>0</v>
      </c>
      <c r="U93" s="4"/>
      <c r="V93" s="4"/>
    </row>
    <row r="94" spans="1:22" x14ac:dyDescent="0.2">
      <c r="A94" s="4" t="s">
        <v>153</v>
      </c>
      <c r="B94" s="7">
        <v>74000</v>
      </c>
      <c r="C94" s="47"/>
      <c r="D94" s="7"/>
      <c r="E94" s="7"/>
      <c r="F94" s="7"/>
      <c r="G94" s="59"/>
      <c r="H94" s="47"/>
      <c r="I94" s="7"/>
      <c r="J94" s="7"/>
      <c r="K94" s="7"/>
      <c r="L94" s="7"/>
      <c r="M94" s="7"/>
      <c r="N94" s="7">
        <v>2050000</v>
      </c>
      <c r="O94" s="7"/>
      <c r="P94" s="7"/>
      <c r="Q94" s="7">
        <v>26000</v>
      </c>
      <c r="R94" s="59">
        <f t="shared" si="29"/>
        <v>2076000</v>
      </c>
      <c r="S94" s="70">
        <f t="shared" si="26"/>
        <v>2076000</v>
      </c>
      <c r="T94" s="47">
        <f t="shared" si="27"/>
        <v>2002000</v>
      </c>
      <c r="U94" s="4"/>
      <c r="V94" s="4"/>
    </row>
    <row r="95" spans="1:22" x14ac:dyDescent="0.2">
      <c r="A95" s="4" t="s">
        <v>110</v>
      </c>
      <c r="B95" s="7">
        <v>24000</v>
      </c>
      <c r="C95" s="47"/>
      <c r="D95" s="7"/>
      <c r="E95" s="7"/>
      <c r="F95" s="7">
        <v>18000</v>
      </c>
      <c r="G95" s="59">
        <f t="shared" si="28"/>
        <v>18000</v>
      </c>
      <c r="H95" s="47"/>
      <c r="I95" s="7"/>
      <c r="J95" s="7"/>
      <c r="K95" s="7"/>
      <c r="L95" s="7"/>
      <c r="M95" s="7"/>
      <c r="N95" s="7"/>
      <c r="O95" s="7"/>
      <c r="P95" s="7"/>
      <c r="Q95" s="7"/>
      <c r="R95" s="59">
        <f t="shared" si="29"/>
        <v>0</v>
      </c>
      <c r="S95" s="70">
        <f t="shared" si="26"/>
        <v>18000</v>
      </c>
      <c r="T95" s="47">
        <f t="shared" ref="T95:T102" si="30">S95-B95</f>
        <v>-6000</v>
      </c>
      <c r="U95" s="4"/>
      <c r="V95" s="4" t="s">
        <v>142</v>
      </c>
    </row>
    <row r="96" spans="1:22" x14ac:dyDescent="0.2">
      <c r="A96" s="4" t="s">
        <v>52</v>
      </c>
      <c r="B96" s="7">
        <v>9000</v>
      </c>
      <c r="C96" s="47"/>
      <c r="D96" s="7"/>
      <c r="E96" s="7"/>
      <c r="F96" s="7">
        <v>12000</v>
      </c>
      <c r="G96" s="59">
        <f t="shared" si="28"/>
        <v>12000</v>
      </c>
      <c r="H96" s="47"/>
      <c r="I96" s="7"/>
      <c r="J96" s="7"/>
      <c r="K96" s="7"/>
      <c r="L96" s="7"/>
      <c r="M96" s="7"/>
      <c r="N96" s="7"/>
      <c r="O96" s="7"/>
      <c r="P96" s="7"/>
      <c r="Q96" s="7"/>
      <c r="R96" s="59">
        <f t="shared" si="29"/>
        <v>0</v>
      </c>
      <c r="S96" s="70">
        <f t="shared" si="26"/>
        <v>12000</v>
      </c>
      <c r="T96" s="47">
        <f t="shared" si="30"/>
        <v>3000</v>
      </c>
      <c r="U96" s="4"/>
      <c r="V96" s="4" t="s">
        <v>143</v>
      </c>
    </row>
    <row r="97" spans="1:22" x14ac:dyDescent="0.2">
      <c r="A97" s="4" t="s">
        <v>47</v>
      </c>
      <c r="B97" s="7">
        <v>17400</v>
      </c>
      <c r="C97" s="47"/>
      <c r="D97" s="7"/>
      <c r="E97" s="7"/>
      <c r="F97" s="7">
        <v>2400</v>
      </c>
      <c r="G97" s="59">
        <v>2400</v>
      </c>
      <c r="H97" s="47"/>
      <c r="I97" s="7"/>
      <c r="J97" s="7"/>
      <c r="K97" s="7"/>
      <c r="L97" s="7"/>
      <c r="M97" s="7"/>
      <c r="N97" s="7"/>
      <c r="O97" s="7"/>
      <c r="P97" s="7"/>
      <c r="Q97" s="7">
        <v>15000</v>
      </c>
      <c r="R97" s="59">
        <f t="shared" si="29"/>
        <v>15000</v>
      </c>
      <c r="S97" s="70">
        <f t="shared" si="26"/>
        <v>17400</v>
      </c>
      <c r="T97" s="47">
        <f t="shared" si="30"/>
        <v>0</v>
      </c>
      <c r="U97" s="4"/>
      <c r="V97" s="4" t="s">
        <v>121</v>
      </c>
    </row>
    <row r="98" spans="1:22" x14ac:dyDescent="0.2">
      <c r="A98" s="4" t="s">
        <v>53</v>
      </c>
      <c r="B98" s="7">
        <v>0</v>
      </c>
      <c r="C98" s="47"/>
      <c r="D98" s="7"/>
      <c r="E98" s="7"/>
      <c r="F98" s="7"/>
      <c r="G98" s="59">
        <f t="shared" si="28"/>
        <v>0</v>
      </c>
      <c r="H98" s="47"/>
      <c r="I98" s="7"/>
      <c r="J98" s="7"/>
      <c r="K98" s="7"/>
      <c r="L98" s="7"/>
      <c r="M98" s="7"/>
      <c r="N98" s="7"/>
      <c r="O98" s="7"/>
      <c r="P98" s="7"/>
      <c r="Q98" s="7"/>
      <c r="R98" s="59">
        <f t="shared" si="29"/>
        <v>0</v>
      </c>
      <c r="S98" s="70">
        <f t="shared" si="26"/>
        <v>0</v>
      </c>
      <c r="T98" s="47">
        <f t="shared" si="30"/>
        <v>0</v>
      </c>
      <c r="U98" s="4"/>
      <c r="V98" s="4" t="s">
        <v>86</v>
      </c>
    </row>
    <row r="99" spans="1:22" x14ac:dyDescent="0.2">
      <c r="A99" s="4" t="s">
        <v>104</v>
      </c>
      <c r="B99" s="7">
        <v>27000</v>
      </c>
      <c r="C99" s="47"/>
      <c r="D99" s="33"/>
      <c r="E99" s="33"/>
      <c r="F99" s="33">
        <v>9000</v>
      </c>
      <c r="G99" s="59">
        <f t="shared" si="28"/>
        <v>9000</v>
      </c>
      <c r="H99" s="47"/>
      <c r="I99" s="7"/>
      <c r="J99" s="7"/>
      <c r="K99" s="7"/>
      <c r="L99" s="7"/>
      <c r="M99" s="7"/>
      <c r="N99" s="7"/>
      <c r="O99" s="8"/>
      <c r="P99" s="7"/>
      <c r="Q99" s="33">
        <v>18000</v>
      </c>
      <c r="R99" s="59">
        <f t="shared" si="29"/>
        <v>18000</v>
      </c>
      <c r="S99" s="70">
        <f t="shared" si="26"/>
        <v>27000</v>
      </c>
      <c r="T99" s="47">
        <f t="shared" si="30"/>
        <v>0</v>
      </c>
      <c r="U99" s="4"/>
      <c r="V99" s="4" t="s">
        <v>122</v>
      </c>
    </row>
    <row r="100" spans="1:22" x14ac:dyDescent="0.2">
      <c r="A100" s="4" t="s">
        <v>105</v>
      </c>
      <c r="B100" s="7">
        <v>36000</v>
      </c>
      <c r="C100" s="47"/>
      <c r="D100" s="34"/>
      <c r="E100" s="34"/>
      <c r="F100" s="39"/>
      <c r="G100" s="59">
        <f t="shared" si="28"/>
        <v>0</v>
      </c>
      <c r="H100" s="47"/>
      <c r="I100" s="7"/>
      <c r="J100" s="7"/>
      <c r="K100" s="7"/>
      <c r="L100" s="7"/>
      <c r="M100" s="7"/>
      <c r="N100" s="7"/>
      <c r="O100" s="8"/>
      <c r="P100" s="7">
        <v>30000</v>
      </c>
      <c r="Q100" s="8"/>
      <c r="R100" s="59">
        <f t="shared" si="29"/>
        <v>30000</v>
      </c>
      <c r="S100" s="70">
        <f t="shared" si="26"/>
        <v>30000</v>
      </c>
      <c r="T100" s="47">
        <f t="shared" si="30"/>
        <v>-6000</v>
      </c>
      <c r="U100" s="4"/>
      <c r="V100" s="4" t="s">
        <v>243</v>
      </c>
    </row>
    <row r="101" spans="1:22" x14ac:dyDescent="0.2">
      <c r="A101" s="4" t="s">
        <v>106</v>
      </c>
      <c r="B101" s="7">
        <v>78000</v>
      </c>
      <c r="C101" s="47"/>
      <c r="D101" s="7"/>
      <c r="E101" s="7"/>
      <c r="F101" s="33">
        <v>12000</v>
      </c>
      <c r="G101" s="59">
        <f t="shared" si="28"/>
        <v>12000</v>
      </c>
      <c r="H101" s="47"/>
      <c r="I101" s="7"/>
      <c r="J101" s="7"/>
      <c r="K101" s="7"/>
      <c r="L101" s="7"/>
      <c r="M101" s="7"/>
      <c r="N101" s="7"/>
      <c r="O101" s="8"/>
      <c r="P101" s="7"/>
      <c r="Q101" s="8"/>
      <c r="R101" s="59">
        <f t="shared" si="29"/>
        <v>0</v>
      </c>
      <c r="S101" s="70">
        <f t="shared" si="26"/>
        <v>12000</v>
      </c>
      <c r="T101" s="47">
        <f t="shared" si="30"/>
        <v>-66000</v>
      </c>
      <c r="U101" s="4"/>
      <c r="V101" s="4" t="s">
        <v>111</v>
      </c>
    </row>
    <row r="102" spans="1:22" x14ac:dyDescent="0.2">
      <c r="A102" s="4" t="s">
        <v>155</v>
      </c>
      <c r="B102" s="7">
        <v>0</v>
      </c>
      <c r="C102" s="47"/>
      <c r="D102" s="7"/>
      <c r="E102" s="7"/>
      <c r="F102" s="39"/>
      <c r="G102" s="59">
        <f t="shared" si="28"/>
        <v>0</v>
      </c>
      <c r="H102" s="47"/>
      <c r="I102" s="7"/>
      <c r="J102" s="7"/>
      <c r="K102" s="7"/>
      <c r="L102" s="7"/>
      <c r="M102" s="7"/>
      <c r="N102" s="7"/>
      <c r="O102" s="7"/>
      <c r="P102" s="7"/>
      <c r="Q102" s="7"/>
      <c r="R102" s="59">
        <f t="shared" si="29"/>
        <v>0</v>
      </c>
      <c r="S102" s="70">
        <f t="shared" si="26"/>
        <v>0</v>
      </c>
      <c r="T102" s="47">
        <f t="shared" si="30"/>
        <v>0</v>
      </c>
      <c r="U102" s="4"/>
      <c r="V102" s="4" t="s">
        <v>112</v>
      </c>
    </row>
    <row r="103" spans="1:22" x14ac:dyDescent="0.2">
      <c r="A103" s="4" t="s">
        <v>115</v>
      </c>
      <c r="B103" s="7">
        <v>20400</v>
      </c>
      <c r="C103" s="47"/>
      <c r="D103" s="7"/>
      <c r="E103" s="7"/>
      <c r="F103" s="39">
        <v>20400</v>
      </c>
      <c r="G103" s="59">
        <f t="shared" si="28"/>
        <v>20400</v>
      </c>
      <c r="H103" s="47"/>
      <c r="I103" s="7"/>
      <c r="J103" s="7"/>
      <c r="K103" s="7"/>
      <c r="L103" s="7"/>
      <c r="M103" s="7"/>
      <c r="N103" s="7"/>
      <c r="O103" s="7"/>
      <c r="P103" s="7"/>
      <c r="Q103" s="7"/>
      <c r="R103" s="59">
        <f t="shared" si="29"/>
        <v>0</v>
      </c>
      <c r="S103" s="70">
        <v>20400</v>
      </c>
      <c r="T103" s="47"/>
      <c r="U103" s="4"/>
      <c r="V103" s="4"/>
    </row>
    <row r="104" spans="1:22" x14ac:dyDescent="0.2">
      <c r="A104" s="4" t="s">
        <v>39</v>
      </c>
      <c r="B104" s="7">
        <v>180</v>
      </c>
      <c r="C104" s="47"/>
      <c r="D104" s="7"/>
      <c r="E104" s="7"/>
      <c r="F104" s="7"/>
      <c r="G104" s="59">
        <f t="shared" si="28"/>
        <v>0</v>
      </c>
      <c r="H104" s="7"/>
      <c r="I104" s="7"/>
      <c r="J104" s="7"/>
      <c r="K104" s="7"/>
      <c r="L104" s="7"/>
      <c r="M104" s="7"/>
      <c r="N104" s="7"/>
      <c r="O104" s="7"/>
      <c r="P104" s="7"/>
      <c r="Q104" s="7">
        <v>180</v>
      </c>
      <c r="R104" s="59">
        <f t="shared" si="29"/>
        <v>180</v>
      </c>
      <c r="S104" s="109">
        <f>G104+R104</f>
        <v>180</v>
      </c>
      <c r="T104" s="7">
        <f>S104-B104</f>
        <v>0</v>
      </c>
      <c r="U104" s="4"/>
      <c r="V104" s="4"/>
    </row>
    <row r="105" spans="1:22" x14ac:dyDescent="0.2">
      <c r="A105" s="88" t="s">
        <v>18</v>
      </c>
      <c r="B105" s="8">
        <f t="shared" ref="B105:T106" si="31">SUM(B76:B104)</f>
        <v>1129220</v>
      </c>
      <c r="C105" s="8">
        <f t="shared" si="31"/>
        <v>154112</v>
      </c>
      <c r="D105" s="8">
        <f t="shared" si="31"/>
        <v>0</v>
      </c>
      <c r="E105" s="8"/>
      <c r="F105" s="8">
        <f t="shared" si="31"/>
        <v>208400</v>
      </c>
      <c r="G105" s="60">
        <f t="shared" si="31"/>
        <v>362512</v>
      </c>
      <c r="H105" s="8">
        <f t="shared" si="31"/>
        <v>14600</v>
      </c>
      <c r="I105" s="8">
        <f t="shared" si="31"/>
        <v>0</v>
      </c>
      <c r="J105" s="8">
        <f t="shared" si="31"/>
        <v>0</v>
      </c>
      <c r="K105" s="8">
        <f t="shared" si="31"/>
        <v>0</v>
      </c>
      <c r="L105" s="8">
        <f t="shared" si="31"/>
        <v>105000</v>
      </c>
      <c r="M105" s="8">
        <f t="shared" si="31"/>
        <v>60000</v>
      </c>
      <c r="N105" s="8">
        <f t="shared" si="31"/>
        <v>2130000</v>
      </c>
      <c r="O105" s="8">
        <f t="shared" si="31"/>
        <v>20000</v>
      </c>
      <c r="P105" s="8">
        <f t="shared" si="31"/>
        <v>45000</v>
      </c>
      <c r="Q105" s="8">
        <f t="shared" si="31"/>
        <v>343180</v>
      </c>
      <c r="R105" s="60">
        <f t="shared" si="31"/>
        <v>2717780</v>
      </c>
      <c r="S105" s="110">
        <f t="shared" si="31"/>
        <v>3080292</v>
      </c>
      <c r="T105" s="8">
        <f t="shared" si="31"/>
        <v>1951072</v>
      </c>
      <c r="U105" s="4"/>
      <c r="V105" s="77">
        <f>T105/B105</f>
        <v>1.7278050335629904</v>
      </c>
    </row>
    <row r="106" spans="1:22" x14ac:dyDescent="0.2">
      <c r="A106" s="1" t="s">
        <v>19</v>
      </c>
      <c r="B106" s="8">
        <f>B105-B73+0.01</f>
        <v>-144462.8600000001</v>
      </c>
      <c r="C106" s="8">
        <f t="shared" ref="C106:S106" si="32">C105-C73</f>
        <v>6648.5776296499826</v>
      </c>
      <c r="D106" s="8">
        <f t="shared" si="32"/>
        <v>0</v>
      </c>
      <c r="E106" s="8"/>
      <c r="F106" s="8">
        <f t="shared" si="32"/>
        <v>-91510.961272149987</v>
      </c>
      <c r="G106" s="60">
        <f t="shared" si="32"/>
        <v>-84862.383642500034</v>
      </c>
      <c r="H106" s="8">
        <f t="shared" si="32"/>
        <v>-29535.186077339589</v>
      </c>
      <c r="I106" s="8">
        <f t="shared" si="32"/>
        <v>-71818.991700000013</v>
      </c>
      <c r="J106" s="8">
        <f t="shared" si="32"/>
        <v>-122137.92426090446</v>
      </c>
      <c r="K106" s="8">
        <f t="shared" si="32"/>
        <v>-63013.530695800007</v>
      </c>
      <c r="L106" s="8">
        <f t="shared" si="32"/>
        <v>-10433.851649716147</v>
      </c>
      <c r="M106" s="8">
        <f t="shared" si="32"/>
        <v>-12501.672210493009</v>
      </c>
      <c r="N106" s="8">
        <f t="shared" si="32"/>
        <v>74252.80452113552</v>
      </c>
      <c r="O106" s="8">
        <f t="shared" si="32"/>
        <v>-14952.077909200001</v>
      </c>
      <c r="P106" s="8">
        <f t="shared" si="32"/>
        <v>-68769.690323139657</v>
      </c>
      <c r="Q106" s="8">
        <f t="shared" si="32"/>
        <v>227732</v>
      </c>
      <c r="R106" s="60">
        <f t="shared" si="32"/>
        <v>-91178.120305457152</v>
      </c>
      <c r="S106" s="110">
        <f t="shared" si="32"/>
        <v>-176040.50394795742</v>
      </c>
      <c r="T106" s="8"/>
      <c r="U106" s="4"/>
      <c r="V106" s="40">
        <f>S106/S105</f>
        <v>-5.7150589602530354E-2</v>
      </c>
    </row>
    <row r="107" spans="1:22" x14ac:dyDescent="0.2">
      <c r="A107" s="1"/>
      <c r="B107" s="8"/>
      <c r="C107" s="8"/>
      <c r="D107" s="8"/>
      <c r="E107" s="8"/>
      <c r="F107" s="8"/>
      <c r="G107" s="60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60"/>
      <c r="S107" s="110"/>
      <c r="T107" s="8"/>
      <c r="U107" s="4"/>
      <c r="V107" s="77"/>
    </row>
    <row r="108" spans="1:22" x14ac:dyDescent="0.2">
      <c r="A108" s="55" t="s">
        <v>234</v>
      </c>
      <c r="B108" s="8"/>
      <c r="C108" s="8"/>
      <c r="D108" s="8"/>
      <c r="E108" s="8"/>
      <c r="F108" s="95">
        <f>18000+5500</f>
        <v>23500</v>
      </c>
      <c r="G108" s="107">
        <f>C108+D108+F108</f>
        <v>23500</v>
      </c>
      <c r="H108" s="7"/>
      <c r="I108" s="7"/>
      <c r="J108" s="7"/>
      <c r="K108" s="7"/>
      <c r="L108" s="95">
        <f>34500+12750</f>
        <v>47250</v>
      </c>
      <c r="M108" s="95">
        <f>17500</f>
        <v>17500</v>
      </c>
      <c r="N108" s="95">
        <v>84400</v>
      </c>
      <c r="O108" s="7"/>
      <c r="P108" s="95">
        <v>57200</v>
      </c>
      <c r="Q108" s="7"/>
      <c r="R108" s="107">
        <f>H108+I108+J108+K108+L108+M108+N108+O108+P108+Q108</f>
        <v>206350</v>
      </c>
      <c r="S108" s="111">
        <f>G108+R108</f>
        <v>229850</v>
      </c>
      <c r="T108" s="8"/>
      <c r="U108" s="4"/>
      <c r="V108" s="77"/>
    </row>
    <row r="109" spans="1:22" x14ac:dyDescent="0.2">
      <c r="A109" s="55" t="s">
        <v>103</v>
      </c>
      <c r="B109" s="8"/>
      <c r="C109" s="8"/>
      <c r="D109" s="8"/>
      <c r="E109" s="8"/>
      <c r="F109" s="105">
        <f>F106+F108</f>
        <v>-68010.961272149987</v>
      </c>
      <c r="G109" s="108">
        <f>G106+G108</f>
        <v>-61362.383642500034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59"/>
      <c r="S109" s="112">
        <f>S106+S108</f>
        <v>53809.496052042581</v>
      </c>
      <c r="T109" s="8"/>
      <c r="U109" s="4"/>
      <c r="V109" s="77"/>
    </row>
    <row r="110" spans="1:22" x14ac:dyDescent="0.2">
      <c r="A110" s="55"/>
      <c r="B110" s="8"/>
      <c r="C110" s="8"/>
      <c r="D110" s="8"/>
      <c r="E110" s="8"/>
      <c r="F110" s="95"/>
      <c r="G110" s="10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59"/>
      <c r="S110" s="109">
        <v>0</v>
      </c>
      <c r="T110" s="8"/>
      <c r="U110" s="4"/>
      <c r="V110" s="77"/>
    </row>
    <row r="111" spans="1:22" x14ac:dyDescent="0.2">
      <c r="A111" s="55" t="s">
        <v>233</v>
      </c>
      <c r="B111" s="104"/>
      <c r="C111" s="8"/>
      <c r="D111" s="104"/>
      <c r="E111" s="104"/>
      <c r="F111" s="105"/>
      <c r="G111" s="107"/>
      <c r="H111" s="95"/>
      <c r="I111" s="7"/>
      <c r="J111" s="7"/>
      <c r="K111" s="7"/>
      <c r="L111" s="7"/>
      <c r="M111" s="7"/>
      <c r="N111" s="7"/>
      <c r="O111" s="7"/>
      <c r="P111" s="95"/>
      <c r="Q111" s="95"/>
      <c r="R111" s="107"/>
      <c r="S111" s="111">
        <v>0</v>
      </c>
      <c r="T111" s="8"/>
      <c r="U111" s="4"/>
      <c r="V111" s="4"/>
    </row>
    <row r="112" spans="1:22" x14ac:dyDescent="0.2">
      <c r="A112" s="106" t="s">
        <v>228</v>
      </c>
      <c r="B112" s="104"/>
      <c r="C112" s="8"/>
      <c r="D112" s="104"/>
      <c r="E112" s="104"/>
      <c r="F112" s="95">
        <v>33615.300000000003</v>
      </c>
      <c r="G112" s="107">
        <f>C112+D112+F112</f>
        <v>33615.300000000003</v>
      </c>
      <c r="H112" s="95"/>
      <c r="I112" s="7"/>
      <c r="J112" s="7"/>
      <c r="K112" s="7"/>
      <c r="L112" s="7"/>
      <c r="M112" s="7"/>
      <c r="N112" s="7"/>
      <c r="O112" s="7"/>
      <c r="P112" s="95"/>
      <c r="Q112" s="95">
        <v>25216.82</v>
      </c>
      <c r="R112" s="107">
        <f>H112+I112+J112+L112+M112+N112+O112+P112+Q112</f>
        <v>25216.82</v>
      </c>
      <c r="S112" s="111">
        <f>G112+R112</f>
        <v>58832.12</v>
      </c>
      <c r="T112" s="8"/>
      <c r="U112" s="4"/>
      <c r="V112" s="4"/>
    </row>
    <row r="113" spans="1:22" x14ac:dyDescent="0.2">
      <c r="A113" s="106" t="s">
        <v>229</v>
      </c>
      <c r="B113" s="104"/>
      <c r="C113" s="8"/>
      <c r="D113" s="104"/>
      <c r="E113" s="104"/>
      <c r="F113" s="95"/>
      <c r="G113" s="107"/>
      <c r="H113" s="95"/>
      <c r="I113" s="7"/>
      <c r="J113" s="7"/>
      <c r="K113" s="7"/>
      <c r="L113" s="7"/>
      <c r="M113" s="7"/>
      <c r="N113" s="7"/>
      <c r="O113" s="7"/>
      <c r="P113" s="95"/>
      <c r="Q113" s="95">
        <v>42841</v>
      </c>
      <c r="R113" s="107">
        <f>H113+I113+J113+L113+M113+N113+O113+P113+Q113</f>
        <v>42841</v>
      </c>
      <c r="S113" s="111">
        <f>G113+R113</f>
        <v>42841</v>
      </c>
      <c r="T113" s="8"/>
      <c r="U113" s="4"/>
      <c r="V113" s="4"/>
    </row>
    <row r="114" spans="1:22" x14ac:dyDescent="0.2">
      <c r="A114" s="106" t="s">
        <v>230</v>
      </c>
      <c r="B114" s="104"/>
      <c r="C114" s="8"/>
      <c r="D114" s="104"/>
      <c r="E114" s="104"/>
      <c r="F114" s="95"/>
      <c r="G114" s="107"/>
      <c r="H114" s="95"/>
      <c r="I114" s="7"/>
      <c r="J114" s="7"/>
      <c r="K114" s="7"/>
      <c r="L114" s="7"/>
      <c r="M114" s="7"/>
      <c r="N114" s="7"/>
      <c r="O114" s="7"/>
      <c r="P114" s="95"/>
      <c r="Q114" s="95">
        <v>37595</v>
      </c>
      <c r="R114" s="107">
        <f>H114+I114+J114+L114+M114+N114+O114+P114+Q114</f>
        <v>37595</v>
      </c>
      <c r="S114" s="111">
        <f>G114+R114</f>
        <v>37595</v>
      </c>
      <c r="T114" s="8"/>
      <c r="U114" s="4"/>
      <c r="V114" s="4"/>
    </row>
    <row r="115" spans="1:22" x14ac:dyDescent="0.2">
      <c r="A115" s="106" t="s">
        <v>244</v>
      </c>
      <c r="B115" s="104"/>
      <c r="C115" s="8"/>
      <c r="D115" s="104"/>
      <c r="E115" s="104"/>
      <c r="F115" s="95"/>
      <c r="G115" s="107"/>
      <c r="H115" s="95"/>
      <c r="I115" s="7"/>
      <c r="J115" s="7"/>
      <c r="K115" s="7"/>
      <c r="L115" s="7"/>
      <c r="M115" s="7"/>
      <c r="N115" s="7"/>
      <c r="O115" s="7"/>
      <c r="P115" s="95"/>
      <c r="Q115" s="95"/>
      <c r="R115" s="107"/>
      <c r="S115" s="111">
        <f>S112+S113+S114</f>
        <v>139268.12</v>
      </c>
      <c r="T115" s="8"/>
      <c r="U115" s="4"/>
      <c r="V115" s="4"/>
    </row>
    <row r="116" spans="1:22" x14ac:dyDescent="0.2">
      <c r="A116" s="55" t="s">
        <v>103</v>
      </c>
      <c r="B116" s="8"/>
      <c r="C116" s="8"/>
      <c r="D116" s="8">
        <f>D106+D111</f>
        <v>0</v>
      </c>
      <c r="E116" s="8"/>
      <c r="F116" s="105">
        <f>F106+F108+F112</f>
        <v>-34395.661272149984</v>
      </c>
      <c r="G116" s="108">
        <f>G106+G108+G112</f>
        <v>-27747.083642500031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60"/>
      <c r="S116" s="109">
        <f>S106+S108+S112+S113+S114</f>
        <v>193077.61605204258</v>
      </c>
      <c r="T116" s="8"/>
      <c r="U116" s="4"/>
      <c r="V116" s="4"/>
    </row>
    <row r="117" spans="1:22" x14ac:dyDescent="0.2">
      <c r="A117" s="5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4"/>
      <c r="V117" s="4"/>
    </row>
    <row r="118" spans="1:22" hidden="1" x14ac:dyDescent="0.2">
      <c r="A118" s="35" t="s">
        <v>54</v>
      </c>
      <c r="B118" s="34">
        <v>418749.63639589999</v>
      </c>
      <c r="C118" s="48"/>
      <c r="D118" s="8"/>
      <c r="E118" s="8"/>
      <c r="F118" s="8"/>
      <c r="G118" s="62">
        <f>G79+G80+G99+G101-G116</f>
        <v>102747.08364250003</v>
      </c>
      <c r="H118" s="50"/>
      <c r="I118" s="34"/>
      <c r="J118" s="34"/>
      <c r="K118" s="34"/>
      <c r="L118" s="34"/>
      <c r="M118" s="34"/>
      <c r="N118" s="34"/>
      <c r="O118" s="34"/>
      <c r="P118" s="34"/>
      <c r="Q118" s="33"/>
      <c r="R118" s="34">
        <f>R79+R80+R99+R100-R106+R89</f>
        <v>214778.12030545715</v>
      </c>
      <c r="S118" s="50">
        <f>G118+R118</f>
        <v>317525.2039479572</v>
      </c>
      <c r="T118" s="47"/>
      <c r="U118" s="4"/>
      <c r="V118" s="4"/>
    </row>
    <row r="119" spans="1:22" hidden="1" x14ac:dyDescent="0.2">
      <c r="A119" s="35" t="s">
        <v>59</v>
      </c>
      <c r="B119" s="34">
        <v>165000</v>
      </c>
      <c r="C119" s="48"/>
      <c r="D119" s="8"/>
      <c r="E119" s="8"/>
      <c r="F119" s="8"/>
      <c r="G119" s="62">
        <v>98000</v>
      </c>
      <c r="H119" s="50"/>
      <c r="I119" s="34"/>
      <c r="J119" s="34"/>
      <c r="K119" s="34"/>
      <c r="L119" s="34"/>
      <c r="M119" s="34"/>
      <c r="N119" s="34"/>
      <c r="O119" s="34"/>
      <c r="P119" s="34"/>
      <c r="Q119" s="34"/>
      <c r="R119" s="34">
        <v>80000</v>
      </c>
      <c r="S119" s="50">
        <v>165000</v>
      </c>
      <c r="T119" s="47"/>
      <c r="U119" s="4"/>
      <c r="V119" s="4"/>
    </row>
    <row r="120" spans="1:22" x14ac:dyDescent="0.2">
      <c r="A120" s="1"/>
      <c r="B120" s="4"/>
      <c r="C120" s="7"/>
      <c r="D120" s="7"/>
      <c r="E120" s="7"/>
      <c r="F120" s="4"/>
      <c r="G120" s="4"/>
      <c r="H120" s="4"/>
      <c r="I120" s="4"/>
      <c r="J120" s="4"/>
      <c r="K120" s="4"/>
      <c r="L120" s="2"/>
      <c r="S120" s="4"/>
    </row>
    <row r="121" spans="1:22" x14ac:dyDescent="0.2">
      <c r="B121" s="7"/>
      <c r="C121" s="4"/>
      <c r="D121" s="4"/>
      <c r="E121" s="4"/>
      <c r="F121" s="4"/>
      <c r="G121" s="4"/>
      <c r="H121" s="4"/>
      <c r="I121" s="4"/>
      <c r="J121" s="4"/>
      <c r="K121" s="4"/>
      <c r="L121" s="2"/>
      <c r="M121" s="15"/>
      <c r="S121" s="7"/>
    </row>
    <row r="122" spans="1:22" x14ac:dyDescent="0.2">
      <c r="B122" s="7"/>
      <c r="C122" s="32"/>
      <c r="D122" s="32"/>
      <c r="E122" s="32"/>
      <c r="F122" s="4"/>
      <c r="G122" s="4"/>
      <c r="H122" s="4"/>
      <c r="I122" s="4"/>
      <c r="J122" s="4"/>
      <c r="K122" s="4"/>
      <c r="L122" s="2"/>
      <c r="S122" s="7"/>
    </row>
    <row r="123" spans="1:22" x14ac:dyDescent="0.2">
      <c r="A123" s="9"/>
      <c r="B123" s="4"/>
      <c r="C123" s="4"/>
      <c r="D123" s="4"/>
      <c r="E123" s="4"/>
      <c r="F123" s="4"/>
      <c r="G123" s="7"/>
      <c r="H123" s="4"/>
      <c r="I123" s="4"/>
      <c r="J123" s="4"/>
      <c r="K123" s="4"/>
      <c r="L123" s="2"/>
      <c r="S123" s="4"/>
    </row>
    <row r="124" spans="1:22" x14ac:dyDescent="0.2">
      <c r="A124" s="1"/>
      <c r="B124" s="32"/>
      <c r="C124" s="1"/>
      <c r="D124" s="1"/>
      <c r="E124" s="1"/>
      <c r="F124" s="4"/>
      <c r="G124" s="4"/>
      <c r="H124" s="4"/>
      <c r="I124" s="4"/>
      <c r="J124" s="4"/>
      <c r="K124" s="4"/>
      <c r="L124" s="2"/>
      <c r="S124" s="32"/>
    </row>
    <row r="125" spans="1:22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2"/>
      <c r="S125" s="4"/>
    </row>
    <row r="126" spans="1:22" x14ac:dyDescent="0.2">
      <c r="A126" s="4"/>
      <c r="B126" s="1"/>
      <c r="F126" s="1"/>
      <c r="G126" s="1"/>
      <c r="H126" s="1"/>
      <c r="I126" s="1"/>
      <c r="J126" s="1"/>
      <c r="K126" s="1"/>
      <c r="L126" s="3"/>
      <c r="S126" s="1"/>
    </row>
    <row r="127" spans="1:22" x14ac:dyDescent="0.2">
      <c r="A127" s="4"/>
      <c r="B127" s="4"/>
      <c r="F127" s="4"/>
      <c r="G127" s="4"/>
      <c r="H127" s="4"/>
      <c r="I127" s="4"/>
      <c r="J127" s="4"/>
      <c r="K127" s="4"/>
      <c r="L127" s="2"/>
      <c r="S127" s="4"/>
    </row>
  </sheetData>
  <phoneticPr fontId="0" type="noConversion"/>
  <pageMargins left="0.5" right="0.5" top="0.75" bottom="0.75" header="0.3" footer="0.3"/>
  <pageSetup scale="66" fitToHeight="0" orientation="landscape" r:id="rId1"/>
  <ignoredErrors>
    <ignoredError sqref="C4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>
      <selection activeCell="A19" sqref="A19"/>
    </sheetView>
  </sheetViews>
  <sheetFormatPr defaultRowHeight="12.75" x14ac:dyDescent="0.2"/>
  <cols>
    <col min="1" max="2" width="15.7109375" customWidth="1"/>
    <col min="3" max="4" width="12.7109375" customWidth="1"/>
  </cols>
  <sheetData>
    <row r="1" spans="1:6" x14ac:dyDescent="0.2">
      <c r="A1" t="s">
        <v>190</v>
      </c>
    </row>
    <row r="2" spans="1:6" x14ac:dyDescent="0.2">
      <c r="A2" s="90" t="s">
        <v>191</v>
      </c>
      <c r="B2" s="90" t="s">
        <v>192</v>
      </c>
      <c r="C2" s="90" t="s">
        <v>25</v>
      </c>
      <c r="D2" s="90" t="s">
        <v>31</v>
      </c>
    </row>
    <row r="3" spans="1:6" x14ac:dyDescent="0.2">
      <c r="A3" t="s">
        <v>193</v>
      </c>
      <c r="B3" t="s">
        <v>194</v>
      </c>
      <c r="C3">
        <f>180*12</f>
        <v>2160</v>
      </c>
      <c r="D3">
        <v>0</v>
      </c>
    </row>
    <row r="4" spans="1:6" x14ac:dyDescent="0.2">
      <c r="A4" t="s">
        <v>195</v>
      </c>
      <c r="B4" t="s">
        <v>194</v>
      </c>
      <c r="D4">
        <f>180*12</f>
        <v>2160</v>
      </c>
    </row>
    <row r="5" spans="1:6" x14ac:dyDescent="0.2">
      <c r="A5" t="s">
        <v>196</v>
      </c>
      <c r="B5" t="s">
        <v>197</v>
      </c>
      <c r="C5">
        <f>36*6*12</f>
        <v>2592</v>
      </c>
      <c r="D5">
        <f>36*14*12</f>
        <v>6048</v>
      </c>
    </row>
    <row r="6" spans="1:6" x14ac:dyDescent="0.2">
      <c r="A6" t="s">
        <v>198</v>
      </c>
      <c r="B6" t="s">
        <v>199</v>
      </c>
      <c r="D6">
        <v>120</v>
      </c>
    </row>
    <row r="7" spans="1:6" x14ac:dyDescent="0.2">
      <c r="A7" t="s">
        <v>200</v>
      </c>
      <c r="B7" t="s">
        <v>199</v>
      </c>
      <c r="D7">
        <v>4600</v>
      </c>
    </row>
    <row r="8" spans="1:6" x14ac:dyDescent="0.2">
      <c r="A8" t="s">
        <v>201</v>
      </c>
      <c r="B8" t="s">
        <v>199</v>
      </c>
      <c r="D8">
        <f>120*6</f>
        <v>720</v>
      </c>
      <c r="F8" t="s">
        <v>202</v>
      </c>
    </row>
    <row r="9" spans="1:6" x14ac:dyDescent="0.2">
      <c r="A9" t="s">
        <v>203</v>
      </c>
      <c r="B9" t="s">
        <v>204</v>
      </c>
      <c r="D9">
        <f>600+1200</f>
        <v>1800</v>
      </c>
    </row>
    <row r="10" spans="1:6" x14ac:dyDescent="0.2">
      <c r="A10" t="s">
        <v>205</v>
      </c>
      <c r="B10" t="s">
        <v>206</v>
      </c>
      <c r="D10">
        <f>150*12</f>
        <v>1800</v>
      </c>
    </row>
    <row r="11" spans="1:6" x14ac:dyDescent="0.2">
      <c r="A11" t="s">
        <v>208</v>
      </c>
      <c r="B11" t="s">
        <v>207</v>
      </c>
      <c r="D11">
        <v>300</v>
      </c>
    </row>
    <row r="12" spans="1:6" x14ac:dyDescent="0.2">
      <c r="A12" t="s">
        <v>101</v>
      </c>
      <c r="B12" t="s">
        <v>212</v>
      </c>
      <c r="D12">
        <v>120</v>
      </c>
    </row>
    <row r="13" spans="1:6" x14ac:dyDescent="0.2">
      <c r="A13" t="s">
        <v>209</v>
      </c>
      <c r="B13" t="s">
        <v>95</v>
      </c>
      <c r="C13">
        <f>300/2</f>
        <v>150</v>
      </c>
      <c r="D13">
        <v>600</v>
      </c>
    </row>
    <row r="14" spans="1:6" x14ac:dyDescent="0.2">
      <c r="A14" t="s">
        <v>211</v>
      </c>
      <c r="B14" t="s">
        <v>210</v>
      </c>
      <c r="D14">
        <v>180</v>
      </c>
    </row>
    <row r="15" spans="1:6" x14ac:dyDescent="0.2">
      <c r="A15" t="s">
        <v>213</v>
      </c>
      <c r="B15" t="s">
        <v>214</v>
      </c>
      <c r="D15">
        <v>90</v>
      </c>
    </row>
    <row r="16" spans="1:6" x14ac:dyDescent="0.2">
      <c r="A16" t="s">
        <v>215</v>
      </c>
      <c r="B16" t="s">
        <v>216</v>
      </c>
      <c r="D16">
        <v>528</v>
      </c>
    </row>
    <row r="17" spans="1:6" x14ac:dyDescent="0.2">
      <c r="A17" t="s">
        <v>217</v>
      </c>
      <c r="B17" t="s">
        <v>197</v>
      </c>
      <c r="C17">
        <f>48*6</f>
        <v>288</v>
      </c>
      <c r="D17">
        <f>24*6</f>
        <v>144</v>
      </c>
      <c r="F17" t="s">
        <v>218</v>
      </c>
    </row>
    <row r="18" spans="1:6" x14ac:dyDescent="0.2">
      <c r="A18" t="s">
        <v>219</v>
      </c>
      <c r="B18" t="s">
        <v>220</v>
      </c>
      <c r="D18">
        <v>348</v>
      </c>
    </row>
    <row r="19" spans="1:6" x14ac:dyDescent="0.2">
      <c r="A19" t="s">
        <v>35</v>
      </c>
      <c r="B19" t="s">
        <v>221</v>
      </c>
      <c r="C19">
        <v>6600</v>
      </c>
      <c r="D19">
        <v>6600</v>
      </c>
    </row>
    <row r="20" spans="1:6" x14ac:dyDescent="0.2">
      <c r="C20">
        <f>SUM(C3:C19)</f>
        <v>11790</v>
      </c>
      <c r="D20">
        <f>SUM(D3:D19)</f>
        <v>26158</v>
      </c>
      <c r="E20">
        <f>SUM(C20:D20)</f>
        <v>37948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96" t="s">
        <v>235</v>
      </c>
      <c r="C1" s="96"/>
      <c r="D1" s="100"/>
      <c r="E1" s="100"/>
      <c r="F1" s="100"/>
    </row>
    <row r="2" spans="2:6" x14ac:dyDescent="0.2">
      <c r="B2" s="96" t="s">
        <v>236</v>
      </c>
      <c r="C2" s="96"/>
      <c r="D2" s="100"/>
      <c r="E2" s="100"/>
      <c r="F2" s="100"/>
    </row>
    <row r="3" spans="2:6" x14ac:dyDescent="0.2">
      <c r="B3" s="97"/>
      <c r="C3" s="97"/>
      <c r="D3" s="101"/>
      <c r="E3" s="101"/>
      <c r="F3" s="101"/>
    </row>
    <row r="4" spans="2:6" ht="25.5" x14ac:dyDescent="0.2">
      <c r="B4" s="97" t="s">
        <v>237</v>
      </c>
      <c r="C4" s="97"/>
      <c r="D4" s="101"/>
      <c r="E4" s="101"/>
      <c r="F4" s="101"/>
    </row>
    <row r="5" spans="2:6" x14ac:dyDescent="0.2">
      <c r="B5" s="97"/>
      <c r="C5" s="97"/>
      <c r="D5" s="101"/>
      <c r="E5" s="101"/>
      <c r="F5" s="101"/>
    </row>
    <row r="6" spans="2:6" x14ac:dyDescent="0.2">
      <c r="B6" s="96" t="s">
        <v>238</v>
      </c>
      <c r="C6" s="96"/>
      <c r="D6" s="100"/>
      <c r="E6" s="100" t="s">
        <v>239</v>
      </c>
      <c r="F6" s="100" t="s">
        <v>240</v>
      </c>
    </row>
    <row r="7" spans="2:6" ht="13.5" thickBot="1" x14ac:dyDescent="0.25">
      <c r="B7" s="97"/>
      <c r="C7" s="97"/>
      <c r="D7" s="101"/>
      <c r="E7" s="101"/>
      <c r="F7" s="101"/>
    </row>
    <row r="8" spans="2:6" ht="39" thickBot="1" x14ac:dyDescent="0.25">
      <c r="B8" s="98" t="s">
        <v>241</v>
      </c>
      <c r="C8" s="99"/>
      <c r="D8" s="102"/>
      <c r="E8" s="102">
        <v>29</v>
      </c>
      <c r="F8" s="103" t="s">
        <v>242</v>
      </c>
    </row>
    <row r="9" spans="2:6" x14ac:dyDescent="0.2">
      <c r="B9" s="97"/>
      <c r="C9" s="97"/>
      <c r="D9" s="101"/>
      <c r="E9" s="101"/>
      <c r="F9" s="101"/>
    </row>
    <row r="10" spans="2:6" x14ac:dyDescent="0.2">
      <c r="B10" s="97"/>
      <c r="C10" s="97"/>
      <c r="D10" s="101"/>
      <c r="E10" s="101"/>
      <c r="F10" s="10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Worksheet 2018</vt:lpstr>
      <vt:lpstr>KEJC 2022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Richard Seckel</cp:lastModifiedBy>
  <cp:lastPrinted>2022-12-15T00:50:53Z</cp:lastPrinted>
  <dcterms:created xsi:type="dcterms:W3CDTF">2007-11-15T22:37:25Z</dcterms:created>
  <dcterms:modified xsi:type="dcterms:W3CDTF">2022-12-15T00:51:00Z</dcterms:modified>
</cp:coreProperties>
</file>